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2"/>
  </bookViews>
  <sheets>
    <sheet name="รายงานรายรับปี61" sheetId="1" r:id="rId1"/>
    <sheet name="รายงานรายจ่ายปี61" sheetId="2" r:id="rId2"/>
    <sheet name="รายงานผลปี61" sheetId="3" r:id="rId3"/>
  </sheets>
  <definedNames>
    <definedName name="_xlnm.Print_Area" localSheetId="2">'รายงานผลปี61'!$A$1:$U$156</definedName>
    <definedName name="_xlnm.Print_Titles" localSheetId="2">'รายงานผลปี61'!$1:$4</definedName>
    <definedName name="_xlnm.Print_Titles" localSheetId="0">'รายงานรายรับปี61'!$1:$6</definedName>
  </definedNames>
  <calcPr fullCalcOnLoad="1"/>
</workbook>
</file>

<file path=xl/sharedStrings.xml><?xml version="1.0" encoding="utf-8"?>
<sst xmlns="http://schemas.openxmlformats.org/spreadsheetml/2006/main" count="338" uniqueCount="236">
  <si>
    <t>รายการ</t>
  </si>
  <si>
    <t>ค่าใช้สอย</t>
  </si>
  <si>
    <t>ไตรมาส 1</t>
  </si>
  <si>
    <t>ไตรมาส 2</t>
  </si>
  <si>
    <t>ไตรมาส 3</t>
  </si>
  <si>
    <t>ไตรมาส 4</t>
  </si>
  <si>
    <t>รวมทั้งสิ้น</t>
  </si>
  <si>
    <t>งบกลาง</t>
  </si>
  <si>
    <t>ค่าเบี้ยยังชีพคนชรา</t>
  </si>
  <si>
    <t>ค่าเบี้ยยังชีพคนพิการ</t>
  </si>
  <si>
    <t>ค่าเบี้ยยังชีพผู้ป่วยโรคเอดส์</t>
  </si>
  <si>
    <t>ค่าสาธารณูปโภค</t>
  </si>
  <si>
    <t>ค่าบริการโทรศัพท์</t>
  </si>
  <si>
    <t>ค่าบริการสื่อสารและโทรคมนาคม</t>
  </si>
  <si>
    <t>ค่าตอบแทน</t>
  </si>
  <si>
    <t>เงินช่วยเหลือการศึกษาบุตร</t>
  </si>
  <si>
    <t>เงินสมทบกองทุน กบท.</t>
  </si>
  <si>
    <t>เงินสนับสนุนค่าใช้จ่ายในการบริหาร(อาหารศูนย์เด็กฯ)</t>
  </si>
  <si>
    <t>องค์การบริหารส่วนตำบลท่าเสน</t>
  </si>
  <si>
    <t>อำเภอบ้านลาด จังหวัดเพชรบุรี</t>
  </si>
  <si>
    <t>แบบรายงานเงินรายรับ</t>
  </si>
  <si>
    <t>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</si>
  <si>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</si>
  <si>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</si>
  <si>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</si>
  <si>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</si>
  <si>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 ค่าปรับ ใบอนุญาต</t>
  </si>
  <si>
    <t>ค่าธรรมเนียมเกี่ยวกับการควบคุมอาคาร</t>
  </si>
  <si>
    <t>ค่าธรรมเนียมใบอนุญาตการพนัน</t>
  </si>
  <si>
    <t>ค่าธรรมเนียมในการออกหนังสือรับรองการแจ้งสถานที่จำหน่ายอาหารหรือสะสมอาหาร</t>
  </si>
  <si>
    <t>ค่าธรรมเนียมปิด โปรย ติดตั้งแผ่นป้ายประกาศหรือแผ่นปลิวเพื่อการโฆษณา</t>
  </si>
  <si>
    <t>ค่าธรรมเนียมเกี่ยวกับทะเบียนพานิชย์</t>
  </si>
  <si>
    <t>ค่าปรับผู้กระทำผิดกฎหมายจราจรทางบก</t>
  </si>
  <si>
    <t>ค่าปรับผิดสัญญา</t>
  </si>
  <si>
    <t>ค่าใบอนุญาตประกอบการค้าสำหรับกิจการที่เป็นอันตรายต่อสุขภาพ</t>
  </si>
  <si>
    <t>ค่าอื่นๆ</t>
  </si>
  <si>
    <t>ประมาณการ</t>
  </si>
  <si>
    <t>ยอดรับจริงสะสม</t>
  </si>
  <si>
    <t>ค่าใบอนุญาตเกี่ยวกับการควบคุมอาคาร</t>
  </si>
  <si>
    <t>รายได้เบ็ดเตล็ด</t>
  </si>
  <si>
    <t>ดอกเบี้ย</t>
  </si>
  <si>
    <t>รายได้จากทรัพย์สิน</t>
  </si>
  <si>
    <t>ค่าขายแบบแปลน</t>
  </si>
  <si>
    <t>รายได้เบ็ดเตล็ดอื่นๆ</t>
  </si>
  <si>
    <t>ภาษีจัดสรร</t>
  </si>
  <si>
    <t>ภาษีมูลค่าเพิ่มตาม พ.ร.บ.กำหนดแผนฯ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</si>
  <si>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</si>
  <si>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</si>
  <si>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</si>
  <si>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</si>
  <si>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ค่าภาคหลวงและค่าธรรมเนียมตามกฎหมายว่าด้วยป่าไม้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</si>
  <si>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</si>
  <si>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</si>
  <si>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</si>
  <si>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</si>
  <si>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ภาษีและค่าธรรมเนียมรถยนต์และล้อเลื่อน</t>
  </si>
  <si>
    <t>เงินอุดหนุนทั่วไปตามอำนาจหน้าที่และภารกิจถ่ายโอน</t>
  </si>
  <si>
    <t>เบี้ยยังชีพคนชรา</t>
  </si>
  <si>
    <t>เบี้ยยังชีพคนพิการ</t>
  </si>
  <si>
    <t>เบี้ยยังชีพผู้ป่วยโรคเอดส์</t>
  </si>
  <si>
    <t>ค่าอาหารเสริม(นม)ศูนย์พัฒนาเด็กเล็ก</t>
  </si>
  <si>
    <t>ค่าอาหารเสริม(นม)โรงเรียนในเขตตำบล</t>
  </si>
  <si>
    <t>ค่าใช้จ่ายในการสนับสนุนสถานศึกษา (ค่าอาหารกลางวัน-ศูนย์พัฒนาเด็กเล็ก)</t>
  </si>
  <si>
    <t>ค่าใช้จ่ายในการสนับสนุนสถานศึกษา (ค่าวัสดุรายหัว-ศูนย์พัฒนาเด็กเล็ก)</t>
  </si>
  <si>
    <t>ค่าใช้จ่ายในการสนับสนุนศูนย์พัฒนาเด็กเล็ก(เงินเดือน/ค่าตอบแทน/ประกันสังคม)</t>
  </si>
  <si>
    <t>ค่าเงินอุดหนุนอาหารกลางวัน โรงเรียนในเขตตำบล</t>
  </si>
  <si>
    <t>เงินอุดหนุนทั่วไปตามภารกิจถ่ายโอน</t>
  </si>
  <si>
    <t>รวมรายรับทั้งสิ้น</t>
  </si>
  <si>
    <t>ค่าใช้จ่ายในการจัดงานวันคล้ายวันสวรรคตพระบาทสมเด็จพระปรมินทรฯ</t>
  </si>
  <si>
    <t>ค่าไฟฟ้า</t>
  </si>
  <si>
    <t>ค่าใช้จ่ายในการรับรองเกี่ยวกับการต้อนรับบุคคลหรือคณะบุคคล</t>
  </si>
  <si>
    <t>ค่าใช้จ่ายในการเลี้ยงรับรองในการประชุมสภาท้องถิ่น</t>
  </si>
  <si>
    <t>โครงการรณรงค์รักษาความสะอาด(Big Cleaning Day)</t>
  </si>
  <si>
    <t>ค่าที่ดินและสิ่งก่อสร้าง</t>
  </si>
  <si>
    <t>เงินสะสม</t>
  </si>
  <si>
    <t>เงินสมทบกองทุน ประกันสังคม</t>
  </si>
  <si>
    <t>รับรองและพิธีการ</t>
  </si>
  <si>
    <t>ไม่เกี่ยวเนื่องปฏิบัติราชการ</t>
  </si>
  <si>
    <t>รายจ่ายซึ่งบริการ</t>
  </si>
  <si>
    <t>แบบรายงานผลการดำเนินงาน</t>
  </si>
  <si>
    <t>องค์การบริหารส่วนตำบลท่าเสน อำเภอบ้านลาด จังหวัดเพชรบุรี</t>
  </si>
  <si>
    <t>ประจำปีงบประมาณ พ.ศ. 2561</t>
  </si>
  <si>
    <t>ข้อบัญญัติ</t>
  </si>
  <si>
    <t>-ค่าจ้างเหมาพนักงานขับรถขยะ</t>
  </si>
  <si>
    <t>-ค่าจ้างเหมาพนักงานรับผิดชอบเอกสารกองช่าง</t>
  </si>
  <si>
    <t>รายจ่ายเพื่อให้ได้มาซึ่งบริการ(กองช่าง)</t>
  </si>
  <si>
    <t>รายจ่ายเพื่อให้ได้มาซึ่งบริการ(สำนักงานปลัด)</t>
  </si>
  <si>
    <t>โครงการจัดงานประเพณีแข่งขันเรือยาววันลอยกระทงฯ</t>
  </si>
  <si>
    <t>-ค่าธรรมเนียมการกำจัดขยะมูลฝอย</t>
  </si>
  <si>
    <t>โครงการเฝ้าระวังสุขภาพกายและสุขภาพใจผู้สูงอายุ</t>
  </si>
  <si>
    <t>ค่าวัสดุ</t>
  </si>
  <si>
    <t>ค่าวัสดุเชื้อเพลิงและหล่อลื่น</t>
  </si>
  <si>
    <t>ค่าวัสดุโฆษณาและเผยแพร่</t>
  </si>
  <si>
    <t>ค่าบริการไปรษณีย์</t>
  </si>
  <si>
    <t>ค่าอาหารเสริม(นม)</t>
  </si>
  <si>
    <t>ค่าเงินอุดหนุน</t>
  </si>
  <si>
    <t>เงินอุดหนุนอาหารกลางวันโรงเรียน</t>
  </si>
  <si>
    <t>เงินอุดหนุนงานพระนครคีรี</t>
  </si>
  <si>
    <t>เงินอุดหนุนการจัดงานแข่งขันวัวเทียมเกวียน</t>
  </si>
  <si>
    <t>เงินสมทบกองทุน สปสช.</t>
  </si>
  <si>
    <t>เงินสำรองจ่าย</t>
  </si>
  <si>
    <t>โครงการอบรมและศึกษาดูงานเพื่อเพิ่มศักยภาพการบริหารของอบต.</t>
  </si>
  <si>
    <t>โครงการเวทีประชาคมหมู่บ้านและตำบล</t>
  </si>
  <si>
    <t>โครงการสนับสนุนการจัดทำแผนชุมชน</t>
  </si>
  <si>
    <t>ค่าใช้จ่ายเดินทางไปราชการ</t>
  </si>
  <si>
    <t>ค่าครุภัณฑ์</t>
  </si>
  <si>
    <t>ค่าจัดซื้อเครื่องพิมพ์ เลเซอร์-สำนักงานปลัด</t>
  </si>
  <si>
    <t>ค่าจัดซื้อคอมพิวเตอร์-สำนักงานปลัด</t>
  </si>
  <si>
    <t>ค่าจัดซื้อเครื่องสำรองไฟ-สำนักงานปลัด</t>
  </si>
  <si>
    <t>โครงการจัดทำแผนที่ภาษี</t>
  </si>
  <si>
    <t>ค่าบำรุงรักษาและปรับปรุงครุภัณฑ์-สำนักงานปลัด</t>
  </si>
  <si>
    <t>ค่าบำรุงรักษาและปรับปรุงครุภัณฑ์-กองคลัง</t>
  </si>
  <si>
    <t>ค่าบำรุงรักษาและซ่อมแซม-สำนักงานปลัด</t>
  </si>
  <si>
    <t>ค่าบำรุงรักษาและซ่อมแซม-กองคลัง</t>
  </si>
  <si>
    <t>ค่าบำรุงรักษาและซ่อมแซม-โยธา</t>
  </si>
  <si>
    <t>ค่าบำรุงรักษาและซ่อมแซม-แผนป้องกันฯ</t>
  </si>
  <si>
    <t>โครงการป้องกันและลดอุบัติเหตุช่วงเทศกาลปีใหม่</t>
  </si>
  <si>
    <t>โครงการป้องกันและลดอุบัติเหตุช่วงเทศกาลสงกรานต์</t>
  </si>
  <si>
    <t>โครงการฝึกอบรมอาสาสมัครป้องกันภัยฝ่ายพลเรือน(อปพร.)</t>
  </si>
  <si>
    <t>ค่าจัดซื้อโคมไฟกระพริบเตือนสีเหลือง-แผนงานป้องกัน</t>
  </si>
  <si>
    <t>ค่าจัดซื้อกระจกโค้งชนิดแสตนเลส-แผนงานป้องกัน</t>
  </si>
  <si>
    <t>ค่าจัดซื้อรถน้ำเอนกประสงค์-แผนงานป้องกัน</t>
  </si>
  <si>
    <t>ค่าบำรุงรักษาและปรับปรุงครุภัณฑ์-การศึกษา</t>
  </si>
  <si>
    <t>ค่าจัดซื้อตู้เก็บเอกสาร-การศึกษา</t>
  </si>
  <si>
    <t>เงินสนับสนุนค่าใช้จ่ายในการบริหาร(ค่าวัสดุรายหัว1,700ของศูนย์เด็กฯ)</t>
  </si>
  <si>
    <t>ค่าธรรมเนียมเก็บและขนมูลฝอย</t>
  </si>
  <si>
    <t>ค่าวัสดุสำนักงาน-กองคลัง</t>
  </si>
  <si>
    <t>ค่าวัสดุสำนักงาน-กองช่าง</t>
  </si>
  <si>
    <t>ค่าวัสดุสำนักงาน-การศึกษา</t>
  </si>
  <si>
    <t>ค่าวัสดุยานพาหนะและขนส่ง-สำนักงานปลัด</t>
  </si>
  <si>
    <t>ค่าวัสดุสำนักงาน-สำนักงานปลัด</t>
  </si>
  <si>
    <t>ค่าวัสดุงานบ้านงานครัว-สำนักงานปลัด</t>
  </si>
  <si>
    <t>ค่าวัสดุคอมพิวเตอร์-สำนักงานปลัด</t>
  </si>
  <si>
    <t>ค่าวัสดุงานบ้านงานครัว-กองคลัง</t>
  </si>
  <si>
    <t>ค่าวัสดุคอมพิวเตอร์-กองคลัง</t>
  </si>
  <si>
    <t>ค่าวัสดุอื่น-กองคลัง</t>
  </si>
  <si>
    <t>ค่าวัสดุการเกษตร-ป้องกัน</t>
  </si>
  <si>
    <t>ค่าวัสดุคอมพิวเตอร์-การศึกษา</t>
  </si>
  <si>
    <t>ค่าวัสดุงานบ้านงานครัว-การศึกษา</t>
  </si>
  <si>
    <t>ค่าวัสดุการศึกษา-การศึกษา</t>
  </si>
  <si>
    <t>ค่าวัสดุไฟฟ้าและวิทยุ-กองช่าง</t>
  </si>
  <si>
    <t>ค่าวัสดุก่อสร้าง-กองช่าง</t>
  </si>
  <si>
    <t>ค่าวัสดุคอมพิวเตอร์-กองช่าง</t>
  </si>
  <si>
    <t>ค่าวัสดุอื่น-งานป้องกัน</t>
  </si>
  <si>
    <t>สำนักงานปลัด</t>
  </si>
  <si>
    <t>แผนงานป้องกัน</t>
  </si>
  <si>
    <t>กองคลัง</t>
  </si>
  <si>
    <t>กองช่าง</t>
  </si>
  <si>
    <t>กองการศึกษา</t>
  </si>
  <si>
    <t>แผนงานป้องกันฯ</t>
  </si>
  <si>
    <t>อุดหนุนส่วนราชการ</t>
  </si>
  <si>
    <t>หน่วยงาน/ประเภท</t>
  </si>
  <si>
    <t>โครงการ ฟ ฟันยิ้มสวย</t>
  </si>
  <si>
    <t>โครงการจัดกิจกรรมส่งเสริมพัฒนาการเด็กศูนย์พัฒนาเด็กเล็ก</t>
  </si>
  <si>
    <t>โครงการอบรมการดูแลเด็กแก่ผู้ปกครองและครูผู้ดูแลเด็ก</t>
  </si>
  <si>
    <t>โครงการอบรมคุณธรรมจริยธรรม</t>
  </si>
  <si>
    <t>โครงการประกวดบ้านสะอาดปราศจากลูกน้ำยุงลาย</t>
  </si>
  <si>
    <t>โครงการป้องกันโรคพิษสุนัขบ้า</t>
  </si>
  <si>
    <t>โครงการป้องกันและควบคุมโรคไข้เลือดออก</t>
  </si>
  <si>
    <t>โครงการรณรงค์ป้องกันการระบาดของโรคติดต่อ</t>
  </si>
  <si>
    <t>โครงการรณรงค์ป้องกันและให้ความรู้เกี่ยวกับโรคเอดส์</t>
  </si>
  <si>
    <t>โครงการพัฒนาคุณภาพชีวิตผู้พิการ</t>
  </si>
  <si>
    <t>โครงการท่าเสนใกล้บ้านใกล้ใจห่วงใยผู้พิการ</t>
  </si>
  <si>
    <t>ค่าบำรุงรักษาและปรับปรุงที่ดินและสิ่งก่อสร้าง</t>
  </si>
  <si>
    <t>โครงการส่งเสริมการบำบัดฟื้นฟูผู้ติด/ผู้เสพยาเสพติด</t>
  </si>
  <si>
    <t>โครงการส่งเสริมการฝึกอาชีพผู้ติด/ผู้เสพยาเสพติด</t>
  </si>
  <si>
    <t>ค่าวัสดุอื่น-การศึกษา</t>
  </si>
  <si>
    <t>รายจ่ายเพื่อให้ได้มาซึ่งบริการ(กองคลัง)</t>
  </si>
  <si>
    <t>เงินอุดหนุนโครงการพระราชดำริด้านสาธารณสุข</t>
  </si>
  <si>
    <t>สำหรับดำเนินการสำรวจและขึ้นทะเบียนโครงการสัตว์ปลอดโรคคนปลอดภัยฯ</t>
  </si>
  <si>
    <t>สำหรับดำเนินการขับเคลื่อนโครงการสัตว์ปลอดโรคคนปลอดภัยฯ</t>
  </si>
  <si>
    <t>โครงการปีใหม่ใส่ใจผู้สูงอายุ</t>
  </si>
  <si>
    <t>โครงการเรียนรู้งานศิลป์กับศิลปินท้องถิ่น</t>
  </si>
  <si>
    <t>โครงการแห่เทียนพรรษา</t>
  </si>
  <si>
    <t>โครงการสืบสานวัฒนธรรมไทย</t>
  </si>
  <si>
    <t>รวมผลดำเนินการทั้งสิ้น</t>
  </si>
  <si>
    <t>แบบรายงานเงินรายจ่าย</t>
  </si>
  <si>
    <t>เงินเดือน (ฝ่ายการเมือง)</t>
  </si>
  <si>
    <t>เงินเดือน (ฝ่ายประจำ)</t>
  </si>
  <si>
    <t>รายจ่ายอื่น</t>
  </si>
  <si>
    <t>จ่ายจริง</t>
  </si>
  <si>
    <t>สรุปรายการ</t>
  </si>
  <si>
    <t>รายรับ</t>
  </si>
  <si>
    <t>รายจ่าย</t>
  </si>
  <si>
    <t>สูง(ต่ำ)</t>
  </si>
  <si>
    <t>โครงการจัดกิจกรรมวันเด็กแห่งชาติ</t>
  </si>
  <si>
    <t>ค่าจ้างเหมาโครงการปรับปรุงถนนคอนกรีตเป็นถนนลาดยางฯ(เงินสะสม)</t>
  </si>
  <si>
    <t>เงินอุดหนุนทั่วไป</t>
  </si>
  <si>
    <t>ค่าจัดซื้อโต๊ะทำงาน สำนักงานปลัด</t>
  </si>
  <si>
    <t>ค่าจ้างเหมาโครงการซ่อมแซมถนน คสล.ริมแม่น้ำเพชรบุรี ม.2(เงินสะสม)</t>
  </si>
  <si>
    <t>ค่าจ้างเหมาโครงการก่อสร้างถนน คสล.ทางเข้าหมู่บ้านไร่เหมือง ม. 5(เงินสะสม)</t>
  </si>
  <si>
    <t>โครงการส่งเสริมการดำเนินงานตามแนวพระราชดำรัสเศรษฐกิจพอเพียง</t>
  </si>
  <si>
    <t>โครงการส่งเสริมการใช้ปุ๋ยหมักเพื่อลดต้นทุนการผลิต</t>
  </si>
  <si>
    <t>โครงการส่งเสริมการผลิตสินค้าเกษตรปลอดภัยและได้มาตรฐาน</t>
  </si>
  <si>
    <t>โครางการส่งเสริมกลุ่มอาชีพในตำบลท่าเสน</t>
  </si>
  <si>
    <t>โครงการพัฒนาศักยภาพกลุ่มสตรี</t>
  </si>
  <si>
    <t>โครงการพัฒนาสตรีและส่งเสริมความเข้มแข็งของครอบครัว</t>
  </si>
  <si>
    <t>ค่าตอบแทนอปพร.ท่าเสน</t>
  </si>
  <si>
    <t>ค่าตอบแทนคณะกรรมการดำเนินการจัดซื้อจัดจ้าง/พิจารณาผล</t>
  </si>
  <si>
    <t>ค่าจัดซื้อเก้าอี้ทำงานแบบมีท้าวแขนปรับระดับได้-สำนักงานปลัด</t>
  </si>
  <si>
    <t>ค่าจัดซื้อเก้าอี้ทำงาน-การศึกษา</t>
  </si>
  <si>
    <t>ค่าจัดซื้อโต๊ะทำงาน-การศึกษา</t>
  </si>
  <si>
    <t>ค่าจัดซื้อโต๊ะอาหารเด็ก-การศึกษา</t>
  </si>
  <si>
    <t>ค่าจัดซื้อเก้าอี้-ศูนย์เด็ก-การศึกษา</t>
  </si>
  <si>
    <t>ค่าจัดซื้อตู้เก็บเอกสาร-ศูนย์เด็ก-การศึกษา</t>
  </si>
  <si>
    <t>ค่าจ้างเหมาโครงการซ่อมแซมถนน คสล.พร้อมฝังท่อระบายน้ำ ม.4(เงินสะสม)</t>
  </si>
  <si>
    <t>ค่าจ้างเหมาโครงการซ่อมแซมปรับปรุงถนน คสล.พร้อมฝังท่อระบายน้ำ ม.3(เงินสะสม)</t>
  </si>
  <si>
    <t>-ค่าจ้างเหมาจัดทำป้ายประชาสัมพันธ์ต่างๆ ตรายาง ต่ออายุเวปไซด์ อื่นๆ</t>
  </si>
  <si>
    <t>ค่าวัสดุสำนักงาน-การศึกษา(ศูนย์พัฒนาเด็กเล็ก)</t>
  </si>
  <si>
    <t>ค่าใช้จ่ายในการจัดงานวันเฉลิมพระชนมพรรษาสมเด็จพระเจ้าอยู่หัวฯ</t>
  </si>
  <si>
    <t>โครงการจัดทำป้ายรณรงค์รักษาสิ่งแวดล้อม</t>
  </si>
  <si>
    <t>โครงการท่าเสนสวยน่าอยู่</t>
  </si>
  <si>
    <t>โครงการส่งเสริมประชาธิปไตยและปกป้องสถาบัน</t>
  </si>
  <si>
    <t>โครงการอนุรักษ์แม่น้ำเพชรบุรี</t>
  </si>
  <si>
    <t>ค่าใช้จ่ายในการจัดงานวันเฉลิมพระชนมพรรษาสมเด็จพระราชินีนาถ 86 พรรษา</t>
  </si>
  <si>
    <t>รายจ่ายเพื่อให้ได้มาซึ่งบริการ(กองการศึกษา)</t>
  </si>
  <si>
    <t>ค่าบำรุงรักษาและซ่อมแซม-การศึกษา(งานระดับก่อนวัยเรียน)</t>
  </si>
  <si>
    <t>รายจ่ายเพื่อให้ได้มาซึ่งบริการ(กองการศึกษา)-งานระดับก่อนวัยเรียน</t>
  </si>
  <si>
    <t>-ค่าจ้างเหมาติดตั้งโปรแกรม</t>
  </si>
  <si>
    <t>ค่าตอบแทนผู้ปฏิบัติราชการอันเป็นประโยชน์แก่ อปท.</t>
  </si>
  <si>
    <t>โครงการพระราชดำริด้านสาธารณสุข</t>
  </si>
  <si>
    <t>โครงการสัตว์ปลอดโรค คนปลอดภัย จากโรคพิษสุนัขบ้า</t>
  </si>
  <si>
    <t>รายจ่ายเพื่อให้ได้มาซึ่งบริการ(สำนักงานปลัด)-งานสาธารณสุข</t>
  </si>
  <si>
    <t>ค่าจัดซื้อเครื่องกระจายเสียงทางไกลอัตโนมัติแบบไร้สาย</t>
  </si>
  <si>
    <t>ค่าบำรุงรักษาและปรับปรุงครุภัณฑ์-กองช่าง</t>
  </si>
  <si>
    <t>ค่าตอบแทนผู้ปฏิบัติงานนอกเวลาราชการ</t>
  </si>
  <si>
    <t>ค่าใช้จ่ายในการจัดงานวันปิยมหาราช</t>
  </si>
  <si>
    <t>รายจ่ายเพื่อให้ได้มาซึ่งบริการ(สำนักงานปลัด)-งานป้องกันฯ</t>
  </si>
  <si>
    <t>รายจ่ายเกี่ยวกับการรับรองและพิธีการ-งานระดับก่อนวัยเรียน</t>
  </si>
  <si>
    <t>โครงการอบรมขยะในชุมชน</t>
  </si>
  <si>
    <t>ประจำปีงบประมาณ 2561 (ตุลาคม -  กันยายน 2561)</t>
  </si>
  <si>
    <t>ประจำปีงบประมาณ พ.ศ. 2561 (ตุลาคม 2560- กันยายน 2561)</t>
  </si>
  <si>
    <t>เงินทุนสำรองเงินสะสม ณ 28 กันยายน 2561</t>
  </si>
  <si>
    <t>เงินสะสม ณ 28 กันยายน  2561</t>
  </si>
  <si>
    <t>ค่าจ้างเหมาโครงการก่อสร้างผนังกั้นน้ำล้นตลิ่ง  ม.2 (เงินสะสม)</t>
  </si>
  <si>
    <t>ค่าจ้างเหมาโครงการซ่อมแซมปรับปรุงถนน คสล.พร้อมเรียงหินยาแนว ม.4(เงินสะสม)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</si>
</sst>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name val="AngsanaUPC"/>
      <family val="1"/>
    </font>
    <font>
      <sz val="11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sz val="15"/>
      <color indexed="8"/>
      <name val="AngsanaUPC"/>
      <family val="1"/>
    </font>
    <font>
      <b/>
      <sz val="14"/>
      <color indexed="8"/>
      <name val="AngsanaUPC"/>
      <family val="1"/>
    </font>
    <font>
      <b/>
      <sz val="14"/>
      <color indexed="10"/>
      <name val="AngsanaUPC"/>
      <family val="1"/>
    </font>
    <font>
      <sz val="13"/>
      <color indexed="8"/>
      <name val="AngsanaUPC"/>
      <family val="1"/>
    </font>
    <font>
      <sz val="15"/>
      <color indexed="60"/>
      <name val="AngsanaUPC"/>
      <family val="1"/>
    </font>
    <font>
      <sz val="14"/>
      <color indexed="60"/>
      <name val="AngsanaUPC"/>
      <family val="1"/>
    </font>
    <font>
      <sz val="14"/>
      <color indexed="56"/>
      <name val="AngsanaUPC"/>
      <family val="1"/>
    </font>
    <font>
      <sz val="11"/>
      <color indexed="8"/>
      <name val="AngsanaUPC"/>
      <family val="1"/>
    </font>
    <font>
      <b/>
      <sz val="13"/>
      <color indexed="36"/>
      <name val="AngsanaUPC"/>
      <family val="1"/>
    </font>
    <font>
      <b/>
      <sz val="11"/>
      <color indexed="36"/>
      <name val="AngsanaUPC"/>
      <family val="1"/>
    </font>
    <font>
      <b/>
      <sz val="15"/>
      <color indexed="36"/>
      <name val="AngsanaUPC"/>
      <family val="1"/>
    </font>
    <font>
      <b/>
      <sz val="14"/>
      <color indexed="36"/>
      <name val="AngsanaUPC"/>
      <family val="1"/>
    </font>
    <font>
      <sz val="13"/>
      <color indexed="30"/>
      <name val="AngsanaUPC"/>
      <family val="1"/>
    </font>
    <font>
      <sz val="11"/>
      <color indexed="30"/>
      <name val="AngsanaUPC"/>
      <family val="1"/>
    </font>
    <font>
      <sz val="14"/>
      <color indexed="30"/>
      <name val="AngsanaUPC"/>
      <family val="1"/>
    </font>
    <font>
      <sz val="15"/>
      <color indexed="30"/>
      <name val="AngsanaUPC"/>
      <family val="1"/>
    </font>
    <font>
      <sz val="13"/>
      <color indexed="60"/>
      <name val="AngsanaUPC"/>
      <family val="1"/>
    </font>
    <font>
      <sz val="11"/>
      <color indexed="60"/>
      <name val="AngsanaUPC"/>
      <family val="1"/>
    </font>
    <font>
      <u val="single"/>
      <sz val="16"/>
      <color indexed="8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sz val="15"/>
      <color theme="1"/>
      <name val="AngsanaUPC"/>
      <family val="1"/>
    </font>
    <font>
      <b/>
      <sz val="14"/>
      <color theme="1"/>
      <name val="AngsanaUPC"/>
      <family val="1"/>
    </font>
    <font>
      <b/>
      <sz val="14"/>
      <color rgb="FFFF0000"/>
      <name val="AngsanaUPC"/>
      <family val="1"/>
    </font>
    <font>
      <sz val="13"/>
      <color theme="1"/>
      <name val="AngsanaUPC"/>
      <family val="1"/>
    </font>
    <font>
      <sz val="15"/>
      <color rgb="FFC00000"/>
      <name val="AngsanaUPC"/>
      <family val="1"/>
    </font>
    <font>
      <sz val="14"/>
      <color rgb="FFC00000"/>
      <name val="AngsanaUPC"/>
      <family val="1"/>
    </font>
    <font>
      <sz val="14"/>
      <color rgb="FF002060"/>
      <name val="AngsanaUPC"/>
      <family val="1"/>
    </font>
    <font>
      <sz val="11"/>
      <color theme="1"/>
      <name val="AngsanaUPC"/>
      <family val="1"/>
    </font>
    <font>
      <b/>
      <sz val="13"/>
      <color rgb="FF7030A0"/>
      <name val="AngsanaUPC"/>
      <family val="1"/>
    </font>
    <font>
      <b/>
      <sz val="11"/>
      <color rgb="FF7030A0"/>
      <name val="AngsanaUPC"/>
      <family val="1"/>
    </font>
    <font>
      <b/>
      <sz val="15"/>
      <color rgb="FF7030A0"/>
      <name val="AngsanaUPC"/>
      <family val="1"/>
    </font>
    <font>
      <b/>
      <sz val="14"/>
      <color rgb="FF7030A0"/>
      <name val="AngsanaUPC"/>
      <family val="1"/>
    </font>
    <font>
      <sz val="13"/>
      <color rgb="FF0070C0"/>
      <name val="AngsanaUPC"/>
      <family val="1"/>
    </font>
    <font>
      <sz val="11"/>
      <color rgb="FF0070C0"/>
      <name val="AngsanaUPC"/>
      <family val="1"/>
    </font>
    <font>
      <sz val="14"/>
      <color rgb="FF0070C0"/>
      <name val="AngsanaUPC"/>
      <family val="1"/>
    </font>
    <font>
      <sz val="15"/>
      <color rgb="FF0070C0"/>
      <name val="AngsanaUPC"/>
      <family val="1"/>
    </font>
    <font>
      <sz val="13"/>
      <color theme="5" tint="-0.4999699890613556"/>
      <name val="AngsanaUPC"/>
      <family val="1"/>
    </font>
    <font>
      <sz val="11"/>
      <color theme="5" tint="-0.4999699890613556"/>
      <name val="AngsanaUPC"/>
      <family val="1"/>
    </font>
    <font>
      <sz val="14"/>
      <color theme="5" tint="-0.4999699890613556"/>
      <name val="AngsanaUPC"/>
      <family val="1"/>
    </font>
    <font>
      <sz val="15"/>
      <color theme="5" tint="-0.4999699890613556"/>
      <name val="AngsanaUPC"/>
      <family val="1"/>
    </font>
    <font>
      <u val="single"/>
      <sz val="16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>
        <color indexed="63"/>
      </bottom>
    </border>
    <border>
      <left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43" fontId="59" fillId="0" borderId="0" xfId="36" applyFont="1" applyAlignment="1">
      <alignment/>
    </xf>
    <xf numFmtId="43" fontId="59" fillId="0" borderId="0" xfId="36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" fontId="61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43" fontId="62" fillId="0" borderId="10" xfId="36" applyFont="1" applyBorder="1" applyAlignment="1">
      <alignment/>
    </xf>
    <xf numFmtId="0" fontId="59" fillId="0" borderId="10" xfId="0" applyFont="1" applyBorder="1" applyAlignment="1">
      <alignment/>
    </xf>
    <xf numFmtId="43" fontId="59" fillId="0" borderId="10" xfId="36" applyFont="1" applyBorder="1" applyAlignment="1">
      <alignment/>
    </xf>
    <xf numFmtId="43" fontId="59" fillId="0" borderId="10" xfId="36" applyFont="1" applyBorder="1" applyAlignment="1">
      <alignment horizontal="center" vertical="center"/>
    </xf>
    <xf numFmtId="43" fontId="63" fillId="0" borderId="10" xfId="36" applyFont="1" applyBorder="1" applyAlignment="1">
      <alignment/>
    </xf>
    <xf numFmtId="0" fontId="61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43" fontId="61" fillId="0" borderId="12" xfId="36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43" fontId="61" fillId="0" borderId="14" xfId="36" applyFont="1" applyBorder="1" applyAlignment="1">
      <alignment vertical="center"/>
    </xf>
    <xf numFmtId="43" fontId="65" fillId="0" borderId="14" xfId="36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43" fontId="61" fillId="0" borderId="16" xfId="36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43" fontId="61" fillId="0" borderId="18" xfId="36" applyFont="1" applyBorder="1" applyAlignment="1">
      <alignment vertical="center"/>
    </xf>
    <xf numFmtId="0" fontId="64" fillId="0" borderId="0" xfId="0" applyFont="1" applyAlignment="1">
      <alignment vertical="center"/>
    </xf>
    <xf numFmtId="43" fontId="61" fillId="0" borderId="0" xfId="36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43" fontId="59" fillId="0" borderId="10" xfId="36" applyFont="1" applyBorder="1" applyAlignment="1">
      <alignment horizontal="center" vertical="center"/>
    </xf>
    <xf numFmtId="43" fontId="59" fillId="0" borderId="10" xfId="36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17" fontId="66" fillId="0" borderId="10" xfId="0" applyNumberFormat="1" applyFont="1" applyBorder="1" applyAlignment="1">
      <alignment horizontal="center" vertical="center"/>
    </xf>
    <xf numFmtId="43" fontId="66" fillId="0" borderId="14" xfId="36" applyFont="1" applyBorder="1" applyAlignment="1">
      <alignment vertical="center"/>
    </xf>
    <xf numFmtId="43" fontId="66" fillId="0" borderId="12" xfId="36" applyFont="1" applyBorder="1" applyAlignment="1">
      <alignment vertical="center"/>
    </xf>
    <xf numFmtId="43" fontId="66" fillId="0" borderId="18" xfId="36" applyFont="1" applyBorder="1" applyAlignment="1">
      <alignment vertical="center"/>
    </xf>
    <xf numFmtId="43" fontId="66" fillId="0" borderId="0" xfId="36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10" xfId="0" applyNumberFormat="1" applyFont="1" applyBorder="1" applyAlignment="1">
      <alignment horizontal="center" vertical="center" wrapText="1"/>
    </xf>
    <xf numFmtId="43" fontId="67" fillId="0" borderId="14" xfId="36" applyFont="1" applyBorder="1" applyAlignment="1">
      <alignment vertical="center"/>
    </xf>
    <xf numFmtId="43" fontId="67" fillId="0" borderId="16" xfId="36" applyFont="1" applyBorder="1" applyAlignment="1">
      <alignment vertical="center"/>
    </xf>
    <xf numFmtId="43" fontId="67" fillId="0" borderId="12" xfId="36" applyFont="1" applyBorder="1" applyAlignment="1">
      <alignment vertical="center"/>
    </xf>
    <xf numFmtId="43" fontId="67" fillId="0" borderId="18" xfId="36" applyFont="1" applyBorder="1" applyAlignment="1">
      <alignment horizontal="center" vertical="center"/>
    </xf>
    <xf numFmtId="43" fontId="67" fillId="0" borderId="0" xfId="36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43" fontId="60" fillId="0" borderId="0" xfId="36" applyFont="1" applyAlignment="1">
      <alignment/>
    </xf>
    <xf numFmtId="0" fontId="60" fillId="0" borderId="10" xfId="0" applyFont="1" applyBorder="1" applyAlignment="1">
      <alignment horizontal="center"/>
    </xf>
    <xf numFmtId="43" fontId="60" fillId="0" borderId="10" xfId="36" applyFont="1" applyBorder="1" applyAlignment="1">
      <alignment horizontal="center"/>
    </xf>
    <xf numFmtId="0" fontId="60" fillId="0" borderId="10" xfId="0" applyFont="1" applyBorder="1" applyAlignment="1">
      <alignment/>
    </xf>
    <xf numFmtId="43" fontId="60" fillId="0" borderId="10" xfId="36" applyFont="1" applyBorder="1" applyAlignment="1">
      <alignment/>
    </xf>
    <xf numFmtId="43" fontId="60" fillId="0" borderId="19" xfId="36" applyFont="1" applyBorder="1" applyAlignment="1">
      <alignment/>
    </xf>
    <xf numFmtId="0" fontId="60" fillId="0" borderId="19" xfId="0" applyFont="1" applyBorder="1" applyAlignment="1">
      <alignment horizontal="center"/>
    </xf>
    <xf numFmtId="43" fontId="60" fillId="0" borderId="20" xfId="36" applyFont="1" applyBorder="1" applyAlignment="1">
      <alignment/>
    </xf>
    <xf numFmtId="43" fontId="61" fillId="0" borderId="0" xfId="0" applyNumberFormat="1" applyFont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 quotePrefix="1">
      <alignment vertical="center"/>
    </xf>
    <xf numFmtId="0" fontId="68" fillId="0" borderId="18" xfId="0" applyFont="1" applyBorder="1" applyAlignment="1">
      <alignment vertical="center"/>
    </xf>
    <xf numFmtId="0" fontId="68" fillId="0" borderId="0" xfId="0" applyFont="1" applyAlignment="1">
      <alignment vertical="center"/>
    </xf>
    <xf numFmtId="43" fontId="61" fillId="0" borderId="0" xfId="36" applyFont="1" applyAlignment="1">
      <alignment horizontal="center" vertical="center"/>
    </xf>
    <xf numFmtId="0" fontId="69" fillId="0" borderId="21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43" fontId="71" fillId="0" borderId="10" xfId="36" applyFont="1" applyBorder="1" applyAlignment="1">
      <alignment vertical="center"/>
    </xf>
    <xf numFmtId="43" fontId="71" fillId="0" borderId="0" xfId="0" applyNumberFormat="1" applyFont="1" applyAlignment="1">
      <alignment vertical="center"/>
    </xf>
    <xf numFmtId="43" fontId="71" fillId="0" borderId="0" xfId="36" applyFont="1" applyAlignment="1">
      <alignment vertical="center"/>
    </xf>
    <xf numFmtId="0" fontId="71" fillId="0" borderId="0" xfId="0" applyFont="1" applyAlignment="1">
      <alignment vertical="center"/>
    </xf>
    <xf numFmtId="0" fontId="69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69" fillId="0" borderId="23" xfId="0" applyFont="1" applyBorder="1" applyAlignment="1">
      <alignment horizontal="center" vertical="center"/>
    </xf>
    <xf numFmtId="43" fontId="71" fillId="0" borderId="23" xfId="36" applyFont="1" applyBorder="1" applyAlignment="1">
      <alignment vertical="center"/>
    </xf>
    <xf numFmtId="43" fontId="72" fillId="0" borderId="23" xfId="36" applyFont="1" applyBorder="1" applyAlignment="1">
      <alignment vertical="center"/>
    </xf>
    <xf numFmtId="43" fontId="72" fillId="0" borderId="19" xfId="36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3" fillId="0" borderId="12" xfId="0" applyFont="1" applyBorder="1" applyAlignment="1">
      <alignment horizontal="center" vertical="center"/>
    </xf>
    <xf numFmtId="43" fontId="75" fillId="0" borderId="12" xfId="36" applyFont="1" applyBorder="1" applyAlignment="1">
      <alignment vertical="center"/>
    </xf>
    <xf numFmtId="43" fontId="76" fillId="0" borderId="12" xfId="36" applyFont="1" applyBorder="1" applyAlignment="1">
      <alignment vertical="center"/>
    </xf>
    <xf numFmtId="0" fontId="76" fillId="0" borderId="0" xfId="0" applyFont="1" applyAlignment="1">
      <alignment vertical="center"/>
    </xf>
    <xf numFmtId="43" fontId="76" fillId="0" borderId="0" xfId="36" applyFont="1" applyAlignment="1">
      <alignment vertical="center"/>
    </xf>
    <xf numFmtId="0" fontId="73" fillId="0" borderId="13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3" fillId="0" borderId="14" xfId="0" applyFont="1" applyBorder="1" applyAlignment="1">
      <alignment horizontal="center" vertical="center"/>
    </xf>
    <xf numFmtId="43" fontId="75" fillId="0" borderId="14" xfId="36" applyFont="1" applyBorder="1" applyAlignment="1">
      <alignment vertical="center"/>
    </xf>
    <xf numFmtId="43" fontId="76" fillId="0" borderId="14" xfId="36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3" fontId="4" fillId="0" borderId="14" xfId="36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0" fontId="73" fillId="0" borderId="17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3" fillId="0" borderId="18" xfId="0" applyFont="1" applyBorder="1" applyAlignment="1">
      <alignment horizontal="center" vertical="center"/>
    </xf>
    <xf numFmtId="43" fontId="75" fillId="0" borderId="18" xfId="36" applyFont="1" applyBorder="1" applyAlignment="1">
      <alignment horizontal="center" vertical="center"/>
    </xf>
    <xf numFmtId="43" fontId="76" fillId="0" borderId="18" xfId="36" applyFont="1" applyBorder="1" applyAlignment="1">
      <alignment vertical="center"/>
    </xf>
    <xf numFmtId="43" fontId="75" fillId="0" borderId="18" xfId="36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78" fillId="0" borderId="18" xfId="0" applyFont="1" applyBorder="1" applyAlignment="1">
      <alignment vertical="center"/>
    </xf>
    <xf numFmtId="0" fontId="77" fillId="0" borderId="18" xfId="0" applyFont="1" applyBorder="1" applyAlignment="1">
      <alignment horizontal="center" vertical="center"/>
    </xf>
    <xf numFmtId="43" fontId="79" fillId="0" borderId="18" xfId="36" applyFont="1" applyBorder="1" applyAlignment="1">
      <alignment horizontal="center" vertical="center"/>
    </xf>
    <xf numFmtId="43" fontId="80" fillId="0" borderId="18" xfId="36" applyFont="1" applyBorder="1" applyAlignment="1">
      <alignment vertical="center"/>
    </xf>
    <xf numFmtId="43" fontId="79" fillId="0" borderId="18" xfId="36" applyFont="1" applyBorder="1" applyAlignment="1">
      <alignment vertical="center"/>
    </xf>
    <xf numFmtId="43" fontId="80" fillId="0" borderId="12" xfId="36" applyFont="1" applyBorder="1" applyAlignment="1">
      <alignment vertical="center"/>
    </xf>
    <xf numFmtId="43" fontId="79" fillId="0" borderId="12" xfId="36" applyFont="1" applyBorder="1" applyAlignment="1">
      <alignment vertical="center"/>
    </xf>
    <xf numFmtId="0" fontId="80" fillId="0" borderId="0" xfId="0" applyFont="1" applyAlignment="1">
      <alignment vertical="center"/>
    </xf>
    <xf numFmtId="43" fontId="80" fillId="0" borderId="0" xfId="36" applyFont="1" applyAlignment="1">
      <alignment vertical="center"/>
    </xf>
    <xf numFmtId="0" fontId="77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43" fontId="80" fillId="0" borderId="14" xfId="36" applyFont="1" applyBorder="1" applyAlignment="1">
      <alignment vertical="center"/>
    </xf>
    <xf numFmtId="43" fontId="79" fillId="0" borderId="14" xfId="36" applyFont="1" applyBorder="1" applyAlignment="1">
      <alignment vertical="center"/>
    </xf>
    <xf numFmtId="43" fontId="79" fillId="0" borderId="24" xfId="36" applyFont="1" applyBorder="1" applyAlignment="1">
      <alignment vertical="center"/>
    </xf>
    <xf numFmtId="43" fontId="80" fillId="0" borderId="24" xfId="36" applyFont="1" applyBorder="1" applyAlignment="1">
      <alignment vertical="center"/>
    </xf>
    <xf numFmtId="43" fontId="80" fillId="0" borderId="16" xfId="36" applyFont="1" applyBorder="1" applyAlignment="1">
      <alignment vertical="center"/>
    </xf>
    <xf numFmtId="43" fontId="79" fillId="0" borderId="16" xfId="36" applyFont="1" applyBorder="1" applyAlignment="1">
      <alignment vertical="center"/>
    </xf>
    <xf numFmtId="43" fontId="65" fillId="0" borderId="0" xfId="0" applyNumberFormat="1" applyFont="1" applyAlignment="1">
      <alignment vertical="center"/>
    </xf>
    <xf numFmtId="43" fontId="71" fillId="0" borderId="23" xfId="0" applyNumberFormat="1" applyFont="1" applyBorder="1" applyAlignment="1">
      <alignment vertical="center"/>
    </xf>
    <xf numFmtId="43" fontId="60" fillId="0" borderId="0" xfId="36" applyFont="1" applyAlignment="1">
      <alignment horizontal="center"/>
    </xf>
    <xf numFmtId="43" fontId="59" fillId="33" borderId="10" xfId="36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43" fontId="59" fillId="0" borderId="10" xfId="36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3" fontId="59" fillId="0" borderId="10" xfId="36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64" fillId="0" borderId="2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4" sqref="G24"/>
    </sheetView>
  </sheetViews>
  <sheetFormatPr defaultColWidth="9.140625" defaultRowHeight="15"/>
  <cols>
    <col min="1" max="1" width="2.57421875" style="1" customWidth="1"/>
    <col min="2" max="2" width="55.421875" style="1" customWidth="1"/>
    <col min="3" max="3" width="10.8515625" style="4" bestFit="1" customWidth="1"/>
    <col min="4" max="4" width="11.57421875" style="5" bestFit="1" customWidth="1"/>
    <col min="5" max="16384" width="8.8515625" style="1" customWidth="1"/>
  </cols>
  <sheetData>
    <row r="1" spans="1:4" s="2" customFormat="1" ht="23.25">
      <c r="A1" s="127" t="s">
        <v>20</v>
      </c>
      <c r="B1" s="127"/>
      <c r="C1" s="127"/>
      <c r="D1" s="127"/>
    </row>
    <row r="2" spans="1:4" s="2" customFormat="1" ht="23.25">
      <c r="A2" s="127" t="s">
        <v>18</v>
      </c>
      <c r="B2" s="127"/>
      <c r="C2" s="127"/>
      <c r="D2" s="127"/>
    </row>
    <row r="3" spans="1:4" s="2" customFormat="1" ht="23.25">
      <c r="A3" s="127" t="s">
        <v>19</v>
      </c>
      <c r="B3" s="127"/>
      <c r="C3" s="127"/>
      <c r="D3" s="127"/>
    </row>
    <row r="4" spans="1:4" s="2" customFormat="1" ht="23.25">
      <c r="A4" s="127" t="s">
        <v>230</v>
      </c>
      <c r="B4" s="127"/>
      <c r="C4" s="127"/>
      <c r="D4" s="127"/>
    </row>
    <row r="5" spans="1:4" ht="19.5">
      <c r="A5" s="130" t="s">
        <v>0</v>
      </c>
      <c r="B5" s="130"/>
      <c r="C5" s="129" t="s">
        <v>36</v>
      </c>
      <c r="D5" s="131" t="s">
        <v>37</v>
      </c>
    </row>
    <row r="6" spans="1:4" ht="19.5">
      <c r="A6" s="130"/>
      <c r="B6" s="130"/>
      <c r="C6" s="129"/>
      <c r="D6" s="131"/>
    </row>
    <row r="7" spans="1:4" s="6" customFormat="1" ht="20.25">
      <c r="A7" s="9" t="s">
        <v>21</v>
      </c>
      <c r="B7" s="9"/>
      <c r="C7" s="10">
        <f>SUM(C8:C11)</f>
        <v>851700</v>
      </c>
      <c r="D7" s="10">
        <f>SUM(D8:D11)</f>
        <v>1094183.24</v>
      </c>
    </row>
    <row r="8" spans="1:4" ht="19.5">
      <c r="A8" s="11"/>
      <c r="B8" s="11" t="s">
        <v>22</v>
      </c>
      <c r="C8" s="12">
        <v>450000</v>
      </c>
      <c r="D8" s="13">
        <f>697867+22658</f>
        <v>720525</v>
      </c>
    </row>
    <row r="9" spans="1:4" ht="19.5">
      <c r="A9" s="11"/>
      <c r="B9" s="11" t="s">
        <v>23</v>
      </c>
      <c r="C9" s="12">
        <v>12300</v>
      </c>
      <c r="D9" s="33">
        <v>11276.24</v>
      </c>
    </row>
    <row r="10" spans="1:4" ht="19.5">
      <c r="A10" s="11"/>
      <c r="B10" s="11" t="s">
        <v>24</v>
      </c>
      <c r="C10" s="12">
        <v>389000</v>
      </c>
      <c r="D10" s="33">
        <f>362122+200</f>
        <v>362322</v>
      </c>
    </row>
    <row r="11" spans="1:4" ht="19.5">
      <c r="A11" s="11"/>
      <c r="B11" s="11" t="s">
        <v>25</v>
      </c>
      <c r="C11" s="12">
        <v>400</v>
      </c>
      <c r="D11" s="33">
        <v>60</v>
      </c>
    </row>
    <row r="12" spans="1:4" s="6" customFormat="1" ht="20.25">
      <c r="A12" s="9" t="s">
        <v>26</v>
      </c>
      <c r="B12" s="9"/>
      <c r="C12" s="10">
        <f>SUM(C13:C23)</f>
        <v>365700</v>
      </c>
      <c r="D12" s="10">
        <f>SUM(D13:D23)</f>
        <v>359433</v>
      </c>
    </row>
    <row r="13" spans="1:4" ht="19.5">
      <c r="A13" s="11"/>
      <c r="B13" s="11" t="s">
        <v>27</v>
      </c>
      <c r="C13" s="12">
        <v>8000</v>
      </c>
      <c r="D13" s="33">
        <v>2253</v>
      </c>
    </row>
    <row r="14" spans="1:4" ht="19.5">
      <c r="A14" s="11"/>
      <c r="B14" s="11" t="s">
        <v>38</v>
      </c>
      <c r="C14" s="12">
        <v>500</v>
      </c>
      <c r="D14" s="33">
        <v>320</v>
      </c>
    </row>
    <row r="15" spans="1:4" ht="19.5">
      <c r="A15" s="11"/>
      <c r="B15" s="11" t="s">
        <v>125</v>
      </c>
      <c r="C15" s="12">
        <v>250000</v>
      </c>
      <c r="D15" s="33">
        <v>243240</v>
      </c>
    </row>
    <row r="16" spans="1:4" ht="19.5">
      <c r="A16" s="11"/>
      <c r="B16" s="11" t="s">
        <v>28</v>
      </c>
      <c r="C16" s="12">
        <v>100</v>
      </c>
      <c r="D16" s="33"/>
    </row>
    <row r="17" spans="1:4" ht="19.5">
      <c r="A17" s="11"/>
      <c r="B17" s="11" t="s">
        <v>29</v>
      </c>
      <c r="C17" s="12">
        <v>7650</v>
      </c>
      <c r="D17" s="33">
        <v>7980</v>
      </c>
    </row>
    <row r="18" spans="1:4" ht="19.5">
      <c r="A18" s="11"/>
      <c r="B18" s="11" t="s">
        <v>30</v>
      </c>
      <c r="C18" s="12">
        <v>150</v>
      </c>
      <c r="D18" s="33">
        <v>50</v>
      </c>
    </row>
    <row r="19" spans="1:4" ht="19.5">
      <c r="A19" s="11"/>
      <c r="B19" s="11" t="s">
        <v>31</v>
      </c>
      <c r="C19" s="12">
        <v>300</v>
      </c>
      <c r="D19" s="33">
        <v>290</v>
      </c>
    </row>
    <row r="20" spans="1:4" ht="19.5">
      <c r="A20" s="11"/>
      <c r="B20" s="11" t="s">
        <v>32</v>
      </c>
      <c r="C20" s="12">
        <v>500</v>
      </c>
      <c r="D20" s="33"/>
    </row>
    <row r="21" spans="1:4" ht="19.5">
      <c r="A21" s="11"/>
      <c r="B21" s="11" t="s">
        <v>33</v>
      </c>
      <c r="C21" s="12">
        <v>45000</v>
      </c>
      <c r="D21" s="33">
        <v>37620</v>
      </c>
    </row>
    <row r="22" spans="1:4" ht="19.5">
      <c r="A22" s="11"/>
      <c r="B22" s="11" t="s">
        <v>34</v>
      </c>
      <c r="C22" s="12">
        <v>53500</v>
      </c>
      <c r="D22" s="33">
        <f>66580+1000</f>
        <v>67580</v>
      </c>
    </row>
    <row r="23" spans="1:4" ht="19.5">
      <c r="A23" s="11"/>
      <c r="B23" s="11" t="s">
        <v>35</v>
      </c>
      <c r="C23" s="12">
        <v>0</v>
      </c>
      <c r="D23" s="33">
        <v>100</v>
      </c>
    </row>
    <row r="24" spans="1:4" s="6" customFormat="1" ht="20.25">
      <c r="A24" s="9" t="s">
        <v>41</v>
      </c>
      <c r="B24" s="9"/>
      <c r="C24" s="10">
        <f>+C25</f>
        <v>230000</v>
      </c>
      <c r="D24" s="10">
        <f>+D25</f>
        <v>239504.91</v>
      </c>
    </row>
    <row r="25" spans="1:4" ht="19.5">
      <c r="A25" s="11"/>
      <c r="B25" s="11" t="s">
        <v>40</v>
      </c>
      <c r="C25" s="12">
        <v>230000</v>
      </c>
      <c r="D25" s="126">
        <f>234874.76+4630.15</f>
        <v>239504.91</v>
      </c>
    </row>
    <row r="26" spans="1:4" s="6" customFormat="1" ht="20.25">
      <c r="A26" s="9" t="s">
        <v>39</v>
      </c>
      <c r="B26" s="9"/>
      <c r="C26" s="10">
        <f>SUM(C27:C28)</f>
        <v>30000</v>
      </c>
      <c r="D26" s="10">
        <f>SUM(D27:D28)</f>
        <v>5460</v>
      </c>
    </row>
    <row r="27" spans="1:4" ht="19.5">
      <c r="A27" s="11"/>
      <c r="B27" s="11" t="s">
        <v>42</v>
      </c>
      <c r="C27" s="12">
        <v>25000</v>
      </c>
      <c r="D27" s="33"/>
    </row>
    <row r="28" spans="1:4" ht="19.5">
      <c r="A28" s="11"/>
      <c r="B28" s="11" t="s">
        <v>43</v>
      </c>
      <c r="C28" s="12">
        <v>5000</v>
      </c>
      <c r="D28" s="33">
        <v>5460</v>
      </c>
    </row>
    <row r="29" spans="1:4" s="6" customFormat="1" ht="20.25">
      <c r="A29" s="9" t="s">
        <v>44</v>
      </c>
      <c r="B29" s="9"/>
      <c r="C29" s="10">
        <f>SUM(C30:C40)</f>
        <v>13260600</v>
      </c>
      <c r="D29" s="10">
        <f>SUM(D30:D40)</f>
        <v>14189479.62</v>
      </c>
    </row>
    <row r="30" spans="1:4" ht="19.5">
      <c r="A30" s="11"/>
      <c r="B30" s="11" t="s">
        <v>45</v>
      </c>
      <c r="C30" s="12">
        <v>7200000</v>
      </c>
      <c r="D30" s="33">
        <v>7646997.47</v>
      </c>
    </row>
    <row r="31" spans="1:4" ht="19.5">
      <c r="A31" s="11"/>
      <c r="B31" s="11" t="s">
        <v>46</v>
      </c>
      <c r="C31" s="12">
        <v>1700000</v>
      </c>
      <c r="D31" s="33">
        <v>1855860.55</v>
      </c>
    </row>
    <row r="32" spans="1:4" ht="19.5">
      <c r="A32" s="11"/>
      <c r="B32" s="11" t="s">
        <v>47</v>
      </c>
      <c r="C32" s="12">
        <v>300000</v>
      </c>
      <c r="D32" s="33">
        <v>199705.07</v>
      </c>
    </row>
    <row r="33" spans="1:4" ht="19.5">
      <c r="A33" s="11"/>
      <c r="B33" s="11" t="s">
        <v>48</v>
      </c>
      <c r="C33" s="12">
        <v>800000</v>
      </c>
      <c r="D33" s="33"/>
    </row>
    <row r="34" spans="1:4" ht="19.5">
      <c r="A34" s="11"/>
      <c r="B34" s="11" t="s">
        <v>49</v>
      </c>
      <c r="C34" s="12">
        <v>1700000</v>
      </c>
      <c r="D34" s="33">
        <v>3054432.66</v>
      </c>
    </row>
    <row r="35" spans="1:4" ht="19.5">
      <c r="A35" s="11"/>
      <c r="B35" s="11" t="s">
        <v>55</v>
      </c>
      <c r="C35" s="12">
        <v>300000</v>
      </c>
      <c r="D35" s="33">
        <v>491081.54</v>
      </c>
    </row>
    <row r="36" spans="1:4" ht="19.5">
      <c r="A36" s="11"/>
      <c r="B36" s="11" t="s">
        <v>50</v>
      </c>
      <c r="C36" s="12">
        <v>100</v>
      </c>
      <c r="D36" s="33">
        <v>5.25</v>
      </c>
    </row>
    <row r="37" spans="1:4" ht="19.5">
      <c r="A37" s="11"/>
      <c r="B37" s="11" t="s">
        <v>51</v>
      </c>
      <c r="C37" s="12">
        <v>40000</v>
      </c>
      <c r="D37" s="33">
        <v>41418.95</v>
      </c>
    </row>
    <row r="38" spans="1:4" ht="19.5">
      <c r="A38" s="11"/>
      <c r="B38" s="11" t="s">
        <v>52</v>
      </c>
      <c r="C38" s="12">
        <v>20000</v>
      </c>
      <c r="D38" s="33">
        <v>23796.13</v>
      </c>
    </row>
    <row r="39" spans="1:4" ht="19.5">
      <c r="A39" s="11"/>
      <c r="B39" s="11" t="s">
        <v>53</v>
      </c>
      <c r="C39" s="12">
        <v>1200000</v>
      </c>
      <c r="D39" s="33">
        <v>875406</v>
      </c>
    </row>
    <row r="40" spans="1:4" ht="19.5">
      <c r="A40" s="11"/>
      <c r="B40" s="11" t="s">
        <v>54</v>
      </c>
      <c r="C40" s="12">
        <v>500</v>
      </c>
      <c r="D40" s="33">
        <v>776</v>
      </c>
    </row>
    <row r="41" spans="1:4" s="6" customFormat="1" ht="20.25">
      <c r="A41" s="9" t="s">
        <v>56</v>
      </c>
      <c r="B41" s="9"/>
      <c r="C41" s="10">
        <f>+C42+C43</f>
        <v>7490356</v>
      </c>
      <c r="D41" s="10">
        <f>+D42+D43</f>
        <v>9429423</v>
      </c>
    </row>
    <row r="42" spans="1:4" ht="19.5">
      <c r="A42" s="11"/>
      <c r="B42" s="11" t="s">
        <v>56</v>
      </c>
      <c r="C42" s="12"/>
      <c r="D42" s="33">
        <v>2643220</v>
      </c>
    </row>
    <row r="43" spans="1:4" s="6" customFormat="1" ht="20.25">
      <c r="A43" s="9" t="s">
        <v>66</v>
      </c>
      <c r="B43" s="9"/>
      <c r="C43" s="10">
        <f>SUM(C44:C55)</f>
        <v>7490356</v>
      </c>
      <c r="D43" s="10">
        <f>SUM(D44:D55)</f>
        <v>6786203</v>
      </c>
    </row>
    <row r="44" spans="1:4" ht="19.5">
      <c r="A44" s="11"/>
      <c r="B44" s="11" t="s">
        <v>57</v>
      </c>
      <c r="C44" s="12">
        <v>5000000</v>
      </c>
      <c r="D44" s="33">
        <v>4492800</v>
      </c>
    </row>
    <row r="45" spans="1:4" ht="19.5">
      <c r="A45" s="11"/>
      <c r="B45" s="11" t="s">
        <v>58</v>
      </c>
      <c r="C45" s="12">
        <v>681600</v>
      </c>
      <c r="D45" s="33">
        <v>573600</v>
      </c>
    </row>
    <row r="46" spans="1:4" ht="19.5">
      <c r="A46" s="11"/>
      <c r="B46" s="11" t="s">
        <v>59</v>
      </c>
      <c r="C46" s="12">
        <v>12000</v>
      </c>
      <c r="D46" s="33">
        <v>12000</v>
      </c>
    </row>
    <row r="47" spans="1:4" ht="19.5">
      <c r="A47" s="11"/>
      <c r="B47" s="11" t="s">
        <v>60</v>
      </c>
      <c r="C47" s="12">
        <v>345000</v>
      </c>
      <c r="D47" s="33">
        <v>51160</v>
      </c>
    </row>
    <row r="48" spans="1:4" ht="19.5">
      <c r="A48" s="11"/>
      <c r="B48" s="11" t="s">
        <v>61</v>
      </c>
      <c r="C48" s="12"/>
      <c r="D48" s="33">
        <v>295403</v>
      </c>
    </row>
    <row r="49" spans="1:4" ht="19.5">
      <c r="A49" s="11"/>
      <c r="B49" s="11" t="s">
        <v>62</v>
      </c>
      <c r="C49" s="12">
        <v>147000</v>
      </c>
      <c r="D49" s="33">
        <v>128800</v>
      </c>
    </row>
    <row r="50" spans="1:4" ht="19.5">
      <c r="A50" s="11"/>
      <c r="B50" s="11" t="s">
        <v>63</v>
      </c>
      <c r="C50" s="12">
        <v>51000</v>
      </c>
      <c r="D50" s="33">
        <v>47600</v>
      </c>
    </row>
    <row r="51" spans="1:4" ht="19.5">
      <c r="A51" s="11"/>
      <c r="B51" s="11" t="s">
        <v>64</v>
      </c>
      <c r="C51" s="12">
        <v>426036</v>
      </c>
      <c r="D51" s="33">
        <v>399840</v>
      </c>
    </row>
    <row r="52" spans="1:4" ht="19.5">
      <c r="A52" s="11"/>
      <c r="B52" s="11" t="s">
        <v>65</v>
      </c>
      <c r="C52" s="12">
        <v>602000</v>
      </c>
      <c r="D52" s="33">
        <v>605000</v>
      </c>
    </row>
    <row r="53" spans="1:4" ht="19.5">
      <c r="A53" s="11"/>
      <c r="B53" s="11" t="s">
        <v>168</v>
      </c>
      <c r="C53" s="12">
        <v>180000</v>
      </c>
      <c r="D53" s="34">
        <v>180000</v>
      </c>
    </row>
    <row r="54" spans="1:4" ht="19.5">
      <c r="A54" s="11"/>
      <c r="B54" s="11" t="s">
        <v>169</v>
      </c>
      <c r="C54" s="12">
        <v>7620</v>
      </c>
      <c r="D54" s="34">
        <v>0</v>
      </c>
    </row>
    <row r="55" spans="1:4" ht="19.5">
      <c r="A55" s="11"/>
      <c r="B55" s="11" t="s">
        <v>170</v>
      </c>
      <c r="C55" s="12">
        <v>38100</v>
      </c>
      <c r="D55" s="34">
        <v>0</v>
      </c>
    </row>
    <row r="56" spans="1:4" s="7" customFormat="1" ht="20.25">
      <c r="A56" s="128" t="s">
        <v>67</v>
      </c>
      <c r="B56" s="128"/>
      <c r="C56" s="14">
        <f>+C7+C12+C24+C26+C29+C41</f>
        <v>22228356</v>
      </c>
      <c r="D56" s="14">
        <f>+D7+D12+D24+D26+D29+D41</f>
        <v>25317483.77</v>
      </c>
    </row>
  </sheetData>
  <sheetProtection/>
  <mergeCells count="8">
    <mergeCell ref="A1:D1"/>
    <mergeCell ref="A2:D2"/>
    <mergeCell ref="A3:D3"/>
    <mergeCell ref="A4:D4"/>
    <mergeCell ref="A56:B56"/>
    <mergeCell ref="C5:C6"/>
    <mergeCell ref="A5:B6"/>
    <mergeCell ref="D5:D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4.140625" style="2" customWidth="1"/>
    <col min="2" max="3" width="18.57421875" style="50" customWidth="1"/>
    <col min="4" max="4" width="8.8515625" style="2" customWidth="1"/>
    <col min="5" max="5" width="12.28125" style="50" bestFit="1" customWidth="1"/>
    <col min="6" max="16384" width="8.8515625" style="2" customWidth="1"/>
  </cols>
  <sheetData>
    <row r="1" spans="1:3" ht="23.25">
      <c r="A1" s="127" t="s">
        <v>176</v>
      </c>
      <c r="B1" s="127"/>
      <c r="C1" s="127"/>
    </row>
    <row r="2" spans="1:3" ht="23.25">
      <c r="A2" s="127" t="s">
        <v>18</v>
      </c>
      <c r="B2" s="127"/>
      <c r="C2" s="127"/>
    </row>
    <row r="3" spans="1:3" ht="23.25">
      <c r="A3" s="127" t="s">
        <v>19</v>
      </c>
      <c r="B3" s="127"/>
      <c r="C3" s="127"/>
    </row>
    <row r="4" spans="1:3" ht="23.25">
      <c r="A4" s="127" t="s">
        <v>231</v>
      </c>
      <c r="B4" s="127"/>
      <c r="C4" s="127"/>
    </row>
    <row r="5" spans="1:5" s="35" customFormat="1" ht="23.25">
      <c r="A5" s="51" t="s">
        <v>0</v>
      </c>
      <c r="B5" s="52" t="s">
        <v>36</v>
      </c>
      <c r="C5" s="52" t="s">
        <v>180</v>
      </c>
      <c r="E5" s="125"/>
    </row>
    <row r="6" spans="1:3" ht="23.25">
      <c r="A6" s="53" t="s">
        <v>177</v>
      </c>
      <c r="B6" s="54">
        <v>2398320</v>
      </c>
      <c r="C6" s="54">
        <v>2398320</v>
      </c>
    </row>
    <row r="7" spans="1:3" ht="23.25">
      <c r="A7" s="53" t="s">
        <v>178</v>
      </c>
      <c r="B7" s="54">
        <v>6819400</v>
      </c>
      <c r="C7" s="54">
        <v>5973486</v>
      </c>
    </row>
    <row r="8" spans="1:3" ht="23.25">
      <c r="A8" s="53" t="s">
        <v>14</v>
      </c>
      <c r="B8" s="54">
        <v>719500</v>
      </c>
      <c r="C8" s="54">
        <f>103325+473000</f>
        <v>576325</v>
      </c>
    </row>
    <row r="9" spans="1:3" ht="23.25">
      <c r="A9" s="53" t="s">
        <v>1</v>
      </c>
      <c r="B9" s="54">
        <v>2721500</v>
      </c>
      <c r="C9" s="54">
        <f>1387223.5+23000</f>
        <v>1410223.5</v>
      </c>
    </row>
    <row r="10" spans="1:3" ht="23.25">
      <c r="A10" s="53" t="s">
        <v>90</v>
      </c>
      <c r="B10" s="54">
        <v>1507000</v>
      </c>
      <c r="C10" s="54">
        <v>1204294.01</v>
      </c>
    </row>
    <row r="11" spans="1:3" ht="23.25">
      <c r="A11" s="53" t="s">
        <v>11</v>
      </c>
      <c r="B11" s="54">
        <v>574000</v>
      </c>
      <c r="C11" s="54">
        <v>407274.14</v>
      </c>
    </row>
    <row r="12" spans="1:3" ht="23.25">
      <c r="A12" s="53" t="s">
        <v>95</v>
      </c>
      <c r="B12" s="54">
        <v>662000</v>
      </c>
      <c r="C12" s="54">
        <v>657000</v>
      </c>
    </row>
    <row r="13" spans="1:3" ht="23.25">
      <c r="A13" s="53" t="s">
        <v>105</v>
      </c>
      <c r="B13" s="54">
        <v>3363700</v>
      </c>
      <c r="C13" s="54">
        <v>3151100</v>
      </c>
    </row>
    <row r="14" spans="1:3" ht="23.25">
      <c r="A14" s="53" t="s">
        <v>73</v>
      </c>
      <c r="B14" s="54">
        <v>300000</v>
      </c>
      <c r="C14" s="54">
        <v>238000</v>
      </c>
    </row>
    <row r="15" spans="1:3" ht="23.25">
      <c r="A15" s="53" t="s">
        <v>7</v>
      </c>
      <c r="B15" s="54">
        <v>6310980</v>
      </c>
      <c r="C15" s="54">
        <v>5770070.5</v>
      </c>
    </row>
    <row r="16" spans="1:3" ht="23.25">
      <c r="A16" s="53" t="s">
        <v>179</v>
      </c>
      <c r="B16" s="54">
        <v>25000</v>
      </c>
      <c r="C16" s="54"/>
    </row>
    <row r="17" spans="1:3" ht="24" thickBot="1">
      <c r="A17" s="56" t="s">
        <v>6</v>
      </c>
      <c r="B17" s="55">
        <f>SUM(B6:B16)</f>
        <v>25401400</v>
      </c>
      <c r="C17" s="55">
        <f>SUM(C6:C16)</f>
        <v>21786093.15</v>
      </c>
    </row>
    <row r="18" ht="24" thickTop="1"/>
    <row r="19" spans="1:3" ht="23.25">
      <c r="A19" s="132" t="s">
        <v>181</v>
      </c>
      <c r="B19" s="132"/>
      <c r="C19" s="132"/>
    </row>
    <row r="20" spans="1:3" ht="23.25">
      <c r="A20" s="2" t="s">
        <v>182</v>
      </c>
      <c r="C20" s="50">
        <f>+รายงานรายรับปี61!D56</f>
        <v>25317483.77</v>
      </c>
    </row>
    <row r="21" spans="1:3" ht="23.25">
      <c r="A21" s="2" t="s">
        <v>183</v>
      </c>
      <c r="C21" s="50">
        <f>+C17</f>
        <v>21786093.15</v>
      </c>
    </row>
    <row r="22" spans="1:3" ht="24" thickBot="1">
      <c r="A22" s="2" t="s">
        <v>184</v>
      </c>
      <c r="C22" s="57">
        <f>+C20-C21</f>
        <v>3531390.620000001</v>
      </c>
    </row>
    <row r="23" ht="24" thickTop="1"/>
    <row r="24" spans="1:3" ht="23.25">
      <c r="A24" s="2" t="s">
        <v>233</v>
      </c>
      <c r="C24" s="50">
        <v>14565382</v>
      </c>
    </row>
    <row r="25" spans="1:3" ht="23.25">
      <c r="A25" s="2" t="s">
        <v>232</v>
      </c>
      <c r="C25" s="50">
        <v>10923839.64</v>
      </c>
    </row>
    <row r="26" ht="24" thickBot="1">
      <c r="C26" s="57">
        <f>SUM(C24:C25)</f>
        <v>25489221.64</v>
      </c>
    </row>
    <row r="27" ht="24" thickTop="1"/>
  </sheetData>
  <sheetProtection/>
  <mergeCells count="5">
    <mergeCell ref="A1:C1"/>
    <mergeCell ref="A2:C2"/>
    <mergeCell ref="A3:C3"/>
    <mergeCell ref="A4:C4"/>
    <mergeCell ref="A19:C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4"/>
  <sheetViews>
    <sheetView tabSelected="1" zoomScale="124" zoomScaleNormal="124" zoomScalePageLayoutView="0" workbookViewId="0" topLeftCell="A1">
      <pane xSplit="4" ySplit="4" topLeftCell="E10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117" sqref="V117"/>
    </sheetView>
  </sheetViews>
  <sheetFormatPr defaultColWidth="12.8515625" defaultRowHeight="15" outlineLevelCol="1"/>
  <cols>
    <col min="1" max="1" width="1.1484375" style="25" customWidth="1"/>
    <col min="2" max="2" width="43.00390625" style="64" customWidth="1"/>
    <col min="3" max="3" width="10.00390625" style="32" customWidth="1"/>
    <col min="4" max="4" width="11.00390625" style="48" customWidth="1"/>
    <col min="5" max="5" width="10.57421875" style="15" hidden="1" customWidth="1" outlineLevel="1"/>
    <col min="6" max="7" width="9.28125" style="15" hidden="1" customWidth="1" outlineLevel="1"/>
    <col min="8" max="8" width="11.421875" style="41" customWidth="1" collapsed="1"/>
    <col min="9" max="11" width="10.57421875" style="15" hidden="1" customWidth="1" outlineLevel="1"/>
    <col min="12" max="12" width="10.8515625" style="41" customWidth="1" collapsed="1"/>
    <col min="13" max="14" width="10.57421875" style="15" hidden="1" customWidth="1" outlineLevel="1"/>
    <col min="15" max="15" width="10.421875" style="15" hidden="1" customWidth="1" outlineLevel="1"/>
    <col min="16" max="16" width="11.140625" style="41" customWidth="1" collapsed="1"/>
    <col min="17" max="19" width="10.8515625" style="15" hidden="1" customWidth="1" outlineLevel="1"/>
    <col min="20" max="20" width="11.421875" style="41" customWidth="1" collapsed="1"/>
    <col min="21" max="21" width="11.421875" style="41" customWidth="1"/>
    <col min="22" max="22" width="12.421875" style="15" customWidth="1"/>
    <col min="23" max="23" width="12.8515625" style="26" bestFit="1" customWidth="1"/>
    <col min="24" max="24" width="12.140625" style="15" customWidth="1"/>
    <col min="25" max="16384" width="12.8515625" style="15" customWidth="1"/>
  </cols>
  <sheetData>
    <row r="1" spans="1:21" ht="17.25" customHeight="1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7.25" customHeight="1">
      <c r="A2" s="135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7.25" customHeight="1">
      <c r="A3" s="135" t="s">
        <v>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3" s="3" customFormat="1" ht="18" customHeight="1">
      <c r="A4" s="133" t="s">
        <v>0</v>
      </c>
      <c r="B4" s="134"/>
      <c r="C4" s="27" t="s">
        <v>151</v>
      </c>
      <c r="D4" s="42" t="s">
        <v>82</v>
      </c>
      <c r="E4" s="8">
        <v>22190</v>
      </c>
      <c r="F4" s="8">
        <v>22221</v>
      </c>
      <c r="G4" s="8">
        <v>22251</v>
      </c>
      <c r="H4" s="36" t="s">
        <v>2</v>
      </c>
      <c r="I4" s="8">
        <v>22282</v>
      </c>
      <c r="J4" s="8">
        <v>22313</v>
      </c>
      <c r="K4" s="8">
        <v>22341</v>
      </c>
      <c r="L4" s="36" t="s">
        <v>3</v>
      </c>
      <c r="M4" s="8">
        <v>22372</v>
      </c>
      <c r="N4" s="8">
        <v>22402</v>
      </c>
      <c r="O4" s="8">
        <v>22433</v>
      </c>
      <c r="P4" s="36" t="s">
        <v>4</v>
      </c>
      <c r="Q4" s="8">
        <v>22463</v>
      </c>
      <c r="R4" s="8">
        <v>22494</v>
      </c>
      <c r="S4" s="8">
        <v>22525</v>
      </c>
      <c r="T4" s="49" t="s">
        <v>5</v>
      </c>
      <c r="U4" s="49" t="s">
        <v>6</v>
      </c>
      <c r="W4" s="65"/>
    </row>
    <row r="5" spans="1:24" s="72" customFormat="1" ht="18" customHeight="1">
      <c r="A5" s="66" t="s">
        <v>7</v>
      </c>
      <c r="B5" s="67"/>
      <c r="C5" s="68"/>
      <c r="D5" s="69">
        <f aca="true" t="shared" si="0" ref="D5:K5">SUM(D6:D12)</f>
        <v>6310980</v>
      </c>
      <c r="E5" s="69">
        <f t="shared" si="0"/>
        <v>595680</v>
      </c>
      <c r="F5" s="69">
        <f t="shared" si="0"/>
        <v>447500</v>
      </c>
      <c r="G5" s="69">
        <f t="shared" si="0"/>
        <v>610226</v>
      </c>
      <c r="H5" s="69">
        <f t="shared" si="0"/>
        <v>1653406</v>
      </c>
      <c r="I5" s="69">
        <f t="shared" si="0"/>
        <v>443618</v>
      </c>
      <c r="J5" s="69">
        <f t="shared" si="0"/>
        <v>512535</v>
      </c>
      <c r="K5" s="69">
        <f t="shared" si="0"/>
        <v>440735</v>
      </c>
      <c r="L5" s="69">
        <f aca="true" t="shared" si="1" ref="L5:T5">SUM(L6:L12)</f>
        <v>1396888</v>
      </c>
      <c r="M5" s="69">
        <f t="shared" si="1"/>
        <v>441135</v>
      </c>
      <c r="N5" s="69">
        <f t="shared" si="1"/>
        <v>440871</v>
      </c>
      <c r="O5" s="69">
        <f t="shared" si="1"/>
        <v>437999</v>
      </c>
      <c r="P5" s="69">
        <f t="shared" si="1"/>
        <v>1320005</v>
      </c>
      <c r="Q5" s="69">
        <f t="shared" si="1"/>
        <v>439599</v>
      </c>
      <c r="R5" s="69">
        <f t="shared" si="1"/>
        <v>460199</v>
      </c>
      <c r="S5" s="69">
        <f t="shared" si="1"/>
        <v>499973.5</v>
      </c>
      <c r="T5" s="69">
        <f t="shared" si="1"/>
        <v>1399771.5</v>
      </c>
      <c r="U5" s="69">
        <f>SUM(U6:U12)</f>
        <v>5770070.5</v>
      </c>
      <c r="V5" s="70">
        <f>SUM(U6:U12)</f>
        <v>5770070.5</v>
      </c>
      <c r="W5" s="71">
        <f>SUM(D6:D12)</f>
        <v>6310980</v>
      </c>
      <c r="X5" s="70">
        <f>+W5-V5</f>
        <v>540909.5</v>
      </c>
    </row>
    <row r="6" spans="1:24" s="84" customFormat="1" ht="18" customHeight="1">
      <c r="A6" s="79"/>
      <c r="B6" s="80" t="s">
        <v>8</v>
      </c>
      <c r="C6" s="81" t="s">
        <v>144</v>
      </c>
      <c r="D6" s="82">
        <v>5000000</v>
      </c>
      <c r="E6" s="83">
        <f>386600+8900</f>
        <v>395500</v>
      </c>
      <c r="F6" s="83">
        <f>385800+8900</f>
        <v>394700</v>
      </c>
      <c r="G6" s="83">
        <f>383700+8900</f>
        <v>392600</v>
      </c>
      <c r="H6" s="82">
        <f aca="true" t="shared" si="2" ref="H6:H27">SUM(E6:G6)</f>
        <v>1182800</v>
      </c>
      <c r="I6" s="83">
        <f>381300+8900</f>
        <v>390200</v>
      </c>
      <c r="J6" s="83">
        <f>380300+8900</f>
        <v>389200</v>
      </c>
      <c r="K6" s="83">
        <f>378500+8900</f>
        <v>387400</v>
      </c>
      <c r="L6" s="82">
        <f aca="true" t="shared" si="3" ref="L6:L27">SUM(I6:K6)</f>
        <v>1166800</v>
      </c>
      <c r="M6" s="83">
        <f>377900+8900</f>
        <v>386800</v>
      </c>
      <c r="N6" s="83">
        <f>377100+8900</f>
        <v>386000</v>
      </c>
      <c r="O6" s="83">
        <f>373300+8900</f>
        <v>382200</v>
      </c>
      <c r="P6" s="82">
        <f aca="true" t="shared" si="4" ref="P6:P27">SUM(M6:O6)</f>
        <v>1155000</v>
      </c>
      <c r="Q6" s="83">
        <f>373300+8900</f>
        <v>382200</v>
      </c>
      <c r="R6" s="83">
        <f>370700+8900</f>
        <v>379600</v>
      </c>
      <c r="S6" s="83">
        <f>368900+8900</f>
        <v>377800</v>
      </c>
      <c r="T6" s="82">
        <f aca="true" t="shared" si="5" ref="T6:T27">SUM(Q6:S6)</f>
        <v>1139600</v>
      </c>
      <c r="U6" s="82">
        <f aca="true" t="shared" si="6" ref="U6:U22">+H6+L6+P6+T6</f>
        <v>4644200</v>
      </c>
      <c r="W6" s="85"/>
      <c r="X6" s="123">
        <f aca="true" t="shared" si="7" ref="X6:X12">+D6-U6</f>
        <v>355800</v>
      </c>
    </row>
    <row r="7" spans="1:24" s="84" customFormat="1" ht="18" customHeight="1">
      <c r="A7" s="86"/>
      <c r="B7" s="87" t="s">
        <v>9</v>
      </c>
      <c r="C7" s="88" t="s">
        <v>144</v>
      </c>
      <c r="D7" s="89">
        <v>681600</v>
      </c>
      <c r="E7" s="90">
        <v>48800</v>
      </c>
      <c r="F7" s="90">
        <v>48800</v>
      </c>
      <c r="G7" s="90">
        <v>47200</v>
      </c>
      <c r="H7" s="89">
        <f t="shared" si="2"/>
        <v>144800</v>
      </c>
      <c r="I7" s="90">
        <v>47200</v>
      </c>
      <c r="J7" s="90">
        <v>47200</v>
      </c>
      <c r="K7" s="90">
        <v>47200</v>
      </c>
      <c r="L7" s="89">
        <f t="shared" si="3"/>
        <v>141600</v>
      </c>
      <c r="M7" s="90">
        <v>47200</v>
      </c>
      <c r="N7" s="90">
        <v>47200</v>
      </c>
      <c r="O7" s="90">
        <v>48000</v>
      </c>
      <c r="P7" s="89">
        <f t="shared" si="4"/>
        <v>142400</v>
      </c>
      <c r="Q7" s="90">
        <v>49600</v>
      </c>
      <c r="R7" s="90">
        <v>48800</v>
      </c>
      <c r="S7" s="90">
        <f>48800+36000</f>
        <v>84800</v>
      </c>
      <c r="T7" s="89">
        <f t="shared" si="5"/>
        <v>183200</v>
      </c>
      <c r="U7" s="89">
        <f t="shared" si="6"/>
        <v>612000</v>
      </c>
      <c r="W7" s="85"/>
      <c r="X7" s="123">
        <f t="shared" si="7"/>
        <v>69600</v>
      </c>
    </row>
    <row r="8" spans="1:24" s="84" customFormat="1" ht="18" customHeight="1">
      <c r="A8" s="86"/>
      <c r="B8" s="87" t="s">
        <v>10</v>
      </c>
      <c r="C8" s="88" t="s">
        <v>144</v>
      </c>
      <c r="D8" s="89">
        <v>12000</v>
      </c>
      <c r="E8" s="90">
        <v>1000</v>
      </c>
      <c r="F8" s="90">
        <v>1000</v>
      </c>
      <c r="G8" s="90">
        <v>1000</v>
      </c>
      <c r="H8" s="89">
        <f t="shared" si="2"/>
        <v>3000</v>
      </c>
      <c r="I8" s="90">
        <v>1000</v>
      </c>
      <c r="J8" s="90">
        <v>1000</v>
      </c>
      <c r="K8" s="90">
        <v>1000</v>
      </c>
      <c r="L8" s="89">
        <f t="shared" si="3"/>
        <v>3000</v>
      </c>
      <c r="M8" s="90">
        <v>1000</v>
      </c>
      <c r="N8" s="90">
        <v>1000</v>
      </c>
      <c r="O8" s="90">
        <v>1000</v>
      </c>
      <c r="P8" s="89">
        <f t="shared" si="4"/>
        <v>3000</v>
      </c>
      <c r="Q8" s="90">
        <v>1000</v>
      </c>
      <c r="R8" s="90">
        <v>1000</v>
      </c>
      <c r="S8" s="90">
        <v>1000</v>
      </c>
      <c r="T8" s="89">
        <f t="shared" si="5"/>
        <v>3000</v>
      </c>
      <c r="U8" s="89">
        <f t="shared" si="6"/>
        <v>12000</v>
      </c>
      <c r="W8" s="85"/>
      <c r="X8" s="123">
        <f t="shared" si="7"/>
        <v>0</v>
      </c>
    </row>
    <row r="9" spans="1:24" ht="18" customHeight="1">
      <c r="A9" s="18"/>
      <c r="B9" s="59" t="s">
        <v>16</v>
      </c>
      <c r="C9" s="28" t="s">
        <v>144</v>
      </c>
      <c r="D9" s="43">
        <v>147380</v>
      </c>
      <c r="E9" s="19">
        <v>147380</v>
      </c>
      <c r="F9" s="19"/>
      <c r="G9" s="19"/>
      <c r="H9" s="37">
        <f t="shared" si="2"/>
        <v>147380</v>
      </c>
      <c r="I9" s="19"/>
      <c r="J9" s="19"/>
      <c r="K9" s="19"/>
      <c r="L9" s="37">
        <f t="shared" si="3"/>
        <v>0</v>
      </c>
      <c r="M9" s="19"/>
      <c r="N9" s="19"/>
      <c r="O9" s="19"/>
      <c r="P9" s="37">
        <f t="shared" si="4"/>
        <v>0</v>
      </c>
      <c r="Q9" s="19"/>
      <c r="R9" s="19"/>
      <c r="S9" s="19"/>
      <c r="T9" s="37">
        <f t="shared" si="5"/>
        <v>0</v>
      </c>
      <c r="U9" s="37">
        <f t="shared" si="6"/>
        <v>147380</v>
      </c>
      <c r="X9" s="123">
        <f t="shared" si="7"/>
        <v>0</v>
      </c>
    </row>
    <row r="10" spans="1:24" ht="18" customHeight="1">
      <c r="A10" s="18"/>
      <c r="B10" s="59" t="s">
        <v>75</v>
      </c>
      <c r="C10" s="28" t="s">
        <v>144</v>
      </c>
      <c r="D10" s="43">
        <v>100000</v>
      </c>
      <c r="E10" s="19">
        <v>3000</v>
      </c>
      <c r="F10" s="19">
        <v>3000</v>
      </c>
      <c r="G10" s="19">
        <v>10895</v>
      </c>
      <c r="H10" s="37">
        <f t="shared" si="2"/>
        <v>16895</v>
      </c>
      <c r="I10" s="19">
        <v>5218</v>
      </c>
      <c r="J10" s="19">
        <v>5135</v>
      </c>
      <c r="K10" s="19">
        <v>5135</v>
      </c>
      <c r="L10" s="37">
        <f t="shared" si="3"/>
        <v>15488</v>
      </c>
      <c r="M10" s="19">
        <v>6135</v>
      </c>
      <c r="N10" s="19">
        <v>6671</v>
      </c>
      <c r="O10" s="19">
        <v>6799</v>
      </c>
      <c r="P10" s="37">
        <f t="shared" si="4"/>
        <v>19605</v>
      </c>
      <c r="Q10" s="19">
        <v>6799</v>
      </c>
      <c r="R10" s="19">
        <v>6799</v>
      </c>
      <c r="S10" s="19">
        <v>6799</v>
      </c>
      <c r="T10" s="37">
        <f t="shared" si="5"/>
        <v>20397</v>
      </c>
      <c r="U10" s="37">
        <f t="shared" si="6"/>
        <v>72385</v>
      </c>
      <c r="X10" s="123">
        <f t="shared" si="7"/>
        <v>27615</v>
      </c>
    </row>
    <row r="11" spans="1:24" ht="18" customHeight="1">
      <c r="A11" s="21"/>
      <c r="B11" s="60" t="s">
        <v>99</v>
      </c>
      <c r="C11" s="29" t="s">
        <v>144</v>
      </c>
      <c r="D11" s="44">
        <v>70000</v>
      </c>
      <c r="E11" s="22"/>
      <c r="F11" s="22"/>
      <c r="G11" s="22"/>
      <c r="H11" s="37">
        <f t="shared" si="2"/>
        <v>0</v>
      </c>
      <c r="I11" s="19"/>
      <c r="J11" s="19">
        <v>70000</v>
      </c>
      <c r="K11" s="19"/>
      <c r="L11" s="37">
        <f t="shared" si="3"/>
        <v>70000</v>
      </c>
      <c r="M11" s="19"/>
      <c r="N11" s="19"/>
      <c r="O11" s="19"/>
      <c r="P11" s="37">
        <f t="shared" si="4"/>
        <v>0</v>
      </c>
      <c r="Q11" s="19"/>
      <c r="R11" s="19"/>
      <c r="S11" s="19"/>
      <c r="T11" s="37">
        <f t="shared" si="5"/>
        <v>0</v>
      </c>
      <c r="U11" s="37">
        <f t="shared" si="6"/>
        <v>70000</v>
      </c>
      <c r="X11" s="123">
        <f t="shared" si="7"/>
        <v>0</v>
      </c>
    </row>
    <row r="12" spans="1:24" ht="18" customHeight="1">
      <c r="A12" s="21"/>
      <c r="B12" s="60" t="s">
        <v>100</v>
      </c>
      <c r="C12" s="29" t="s">
        <v>145</v>
      </c>
      <c r="D12" s="44">
        <v>300000</v>
      </c>
      <c r="E12" s="22"/>
      <c r="F12" s="22"/>
      <c r="G12" s="22">
        <f>7500+24531+93500+5000+28000</f>
        <v>158531</v>
      </c>
      <c r="H12" s="37">
        <f t="shared" si="2"/>
        <v>158531</v>
      </c>
      <c r="I12" s="19"/>
      <c r="J12" s="19"/>
      <c r="K12" s="19"/>
      <c r="L12" s="37">
        <f t="shared" si="3"/>
        <v>0</v>
      </c>
      <c r="M12" s="19"/>
      <c r="N12" s="19"/>
      <c r="O12" s="19"/>
      <c r="P12" s="37">
        <f t="shared" si="4"/>
        <v>0</v>
      </c>
      <c r="Q12" s="19"/>
      <c r="R12" s="19">
        <v>24000</v>
      </c>
      <c r="S12" s="19">
        <f>22500+5000+2074.5</f>
        <v>29574.5</v>
      </c>
      <c r="T12" s="37">
        <f t="shared" si="5"/>
        <v>53574.5</v>
      </c>
      <c r="U12" s="37">
        <f t="shared" si="6"/>
        <v>212105.5</v>
      </c>
      <c r="V12" s="58">
        <f>+D12-U12</f>
        <v>87894.5</v>
      </c>
      <c r="X12" s="123">
        <f t="shared" si="7"/>
        <v>87894.5</v>
      </c>
    </row>
    <row r="13" spans="1:24" s="72" customFormat="1" ht="18" customHeight="1">
      <c r="A13" s="73" t="s">
        <v>11</v>
      </c>
      <c r="B13" s="74"/>
      <c r="C13" s="75"/>
      <c r="D13" s="76">
        <f aca="true" t="shared" si="8" ref="D13:K13">SUM(D14:D18)</f>
        <v>574000</v>
      </c>
      <c r="E13" s="76">
        <f t="shared" si="8"/>
        <v>176055.69</v>
      </c>
      <c r="F13" s="76">
        <f t="shared" si="8"/>
        <v>22589.65</v>
      </c>
      <c r="G13" s="76">
        <f t="shared" si="8"/>
        <v>30245.85</v>
      </c>
      <c r="H13" s="76">
        <f t="shared" si="8"/>
        <v>228891.18999999997</v>
      </c>
      <c r="I13" s="76">
        <f t="shared" si="8"/>
        <v>18038.089999999997</v>
      </c>
      <c r="J13" s="76">
        <f t="shared" si="8"/>
        <v>13433.13</v>
      </c>
      <c r="K13" s="76">
        <f t="shared" si="8"/>
        <v>17326.08</v>
      </c>
      <c r="L13" s="76">
        <f aca="true" t="shared" si="9" ref="L13:T13">SUM(L14:L18)</f>
        <v>48797.299999999996</v>
      </c>
      <c r="M13" s="76">
        <f t="shared" si="9"/>
        <v>22112.42</v>
      </c>
      <c r="N13" s="76">
        <f t="shared" si="9"/>
        <v>20122.6</v>
      </c>
      <c r="O13" s="76">
        <f t="shared" si="9"/>
        <v>20905.840000000004</v>
      </c>
      <c r="P13" s="76">
        <f t="shared" si="9"/>
        <v>63140.85999999999</v>
      </c>
      <c r="Q13" s="76">
        <f t="shared" si="9"/>
        <v>20585.96</v>
      </c>
      <c r="R13" s="76">
        <f t="shared" si="9"/>
        <v>20895.68</v>
      </c>
      <c r="S13" s="76">
        <f t="shared" si="9"/>
        <v>24963.15</v>
      </c>
      <c r="T13" s="76">
        <f t="shared" si="9"/>
        <v>66444.79</v>
      </c>
      <c r="U13" s="76">
        <f t="shared" si="6"/>
        <v>407274.13999999996</v>
      </c>
      <c r="V13" s="70">
        <f>SUM(U14:U18)</f>
        <v>407274.13999999996</v>
      </c>
      <c r="W13" s="71">
        <f>SUM(D14:D17)</f>
        <v>574000</v>
      </c>
      <c r="X13" s="70">
        <f>+W13-V13</f>
        <v>166725.86000000004</v>
      </c>
    </row>
    <row r="14" spans="1:24" ht="18" customHeight="1">
      <c r="A14" s="16"/>
      <c r="B14" s="61" t="s">
        <v>12</v>
      </c>
      <c r="C14" s="30" t="s">
        <v>144</v>
      </c>
      <c r="D14" s="45">
        <v>15000</v>
      </c>
      <c r="E14" s="17">
        <v>240.48</v>
      </c>
      <c r="F14" s="17">
        <f>313.67+270.98</f>
        <v>584.6500000000001</v>
      </c>
      <c r="G14" s="17">
        <v>298.42</v>
      </c>
      <c r="H14" s="38">
        <f t="shared" si="2"/>
        <v>1123.5500000000002</v>
      </c>
      <c r="I14" s="17">
        <v>298.42</v>
      </c>
      <c r="J14" s="17"/>
      <c r="K14" s="17">
        <v>255.73</v>
      </c>
      <c r="L14" s="38">
        <f t="shared" si="3"/>
        <v>554.15</v>
      </c>
      <c r="M14" s="17">
        <f>219.14+252.68</f>
        <v>471.82</v>
      </c>
      <c r="N14" s="17">
        <v>222.19</v>
      </c>
      <c r="O14" s="17">
        <v>231.33</v>
      </c>
      <c r="P14" s="38">
        <f t="shared" si="4"/>
        <v>925.34</v>
      </c>
      <c r="Q14" s="17">
        <v>191.69</v>
      </c>
      <c r="R14" s="17">
        <v>225.24</v>
      </c>
      <c r="S14" s="17">
        <v>203.89</v>
      </c>
      <c r="T14" s="38">
        <f t="shared" si="5"/>
        <v>620.8199999999999</v>
      </c>
      <c r="U14" s="38">
        <f t="shared" si="6"/>
        <v>3223.8600000000006</v>
      </c>
      <c r="X14" s="123">
        <f>+D14-U14</f>
        <v>11776.14</v>
      </c>
    </row>
    <row r="15" spans="1:24" ht="18" customHeight="1">
      <c r="A15" s="18"/>
      <c r="B15" s="59" t="s">
        <v>13</v>
      </c>
      <c r="C15" s="28" t="s">
        <v>144</v>
      </c>
      <c r="D15" s="43">
        <v>25000</v>
      </c>
      <c r="E15" s="19">
        <v>1284</v>
      </c>
      <c r="F15" s="19">
        <f>1284+1284</f>
        <v>2568</v>
      </c>
      <c r="G15" s="19">
        <v>1284</v>
      </c>
      <c r="H15" s="37">
        <f t="shared" si="2"/>
        <v>5136</v>
      </c>
      <c r="I15" s="19">
        <v>1284</v>
      </c>
      <c r="J15" s="19"/>
      <c r="K15" s="19">
        <v>1284</v>
      </c>
      <c r="L15" s="37">
        <f t="shared" si="3"/>
        <v>2568</v>
      </c>
      <c r="M15" s="19">
        <f>1284+1284</f>
        <v>2568</v>
      </c>
      <c r="N15" s="19">
        <v>1284</v>
      </c>
      <c r="O15" s="19">
        <v>1284</v>
      </c>
      <c r="P15" s="37">
        <f t="shared" si="4"/>
        <v>5136</v>
      </c>
      <c r="Q15" s="19">
        <v>1284</v>
      </c>
      <c r="R15" s="19">
        <v>1284</v>
      </c>
      <c r="S15" s="19">
        <v>1284</v>
      </c>
      <c r="T15" s="37">
        <f t="shared" si="5"/>
        <v>3852</v>
      </c>
      <c r="U15" s="37">
        <f t="shared" si="6"/>
        <v>16692</v>
      </c>
      <c r="X15" s="123">
        <f>+D15-U15</f>
        <v>8308</v>
      </c>
    </row>
    <row r="16" spans="1:24" ht="18" customHeight="1">
      <c r="A16" s="18"/>
      <c r="B16" s="59" t="s">
        <v>69</v>
      </c>
      <c r="C16" s="28" t="s">
        <v>144</v>
      </c>
      <c r="D16" s="43">
        <v>500000</v>
      </c>
      <c r="E16" s="19">
        <v>174531.21</v>
      </c>
      <c r="F16" s="19">
        <v>19437</v>
      </c>
      <c r="G16" s="19">
        <v>18630.03</v>
      </c>
      <c r="H16" s="37">
        <f t="shared" si="2"/>
        <v>212598.24</v>
      </c>
      <c r="I16" s="19">
        <v>16455.67</v>
      </c>
      <c r="J16" s="19">
        <v>13433.13</v>
      </c>
      <c r="K16" s="19">
        <v>15786.35</v>
      </c>
      <c r="L16" s="37">
        <f t="shared" si="3"/>
        <v>45675.149999999994</v>
      </c>
      <c r="M16" s="19">
        <v>19072.6</v>
      </c>
      <c r="N16" s="19">
        <v>17823.91</v>
      </c>
      <c r="O16" s="19">
        <v>18672.83</v>
      </c>
      <c r="P16" s="37">
        <f t="shared" si="4"/>
        <v>55569.34</v>
      </c>
      <c r="Q16" s="19">
        <v>19110.27</v>
      </c>
      <c r="R16" s="19">
        <v>19386.44</v>
      </c>
      <c r="S16" s="19">
        <v>22929.9</v>
      </c>
      <c r="T16" s="37">
        <f t="shared" si="5"/>
        <v>61426.61</v>
      </c>
      <c r="U16" s="37">
        <f t="shared" si="6"/>
        <v>375269.33999999997</v>
      </c>
      <c r="X16" s="123">
        <f>+D16-U16</f>
        <v>124730.66000000003</v>
      </c>
    </row>
    <row r="17" spans="1:24" ht="18" customHeight="1">
      <c r="A17" s="18"/>
      <c r="B17" s="59" t="s">
        <v>93</v>
      </c>
      <c r="C17" s="28"/>
      <c r="D17" s="43">
        <f>10000+12000+1000+1000+10000</f>
        <v>34000</v>
      </c>
      <c r="E17" s="19"/>
      <c r="F17" s="19"/>
      <c r="G17" s="19">
        <f>2382.4+1802+1900+2904+1045</f>
        <v>10033.4</v>
      </c>
      <c r="H17" s="37">
        <f t="shared" si="2"/>
        <v>10033.4</v>
      </c>
      <c r="I17" s="19"/>
      <c r="J17" s="19"/>
      <c r="K17" s="19"/>
      <c r="L17" s="37">
        <f t="shared" si="3"/>
        <v>0</v>
      </c>
      <c r="M17" s="19"/>
      <c r="N17" s="19">
        <v>792.5</v>
      </c>
      <c r="O17" s="19">
        <v>717.68</v>
      </c>
      <c r="P17" s="37">
        <f t="shared" si="4"/>
        <v>1510.1799999999998</v>
      </c>
      <c r="Q17" s="19"/>
      <c r="R17" s="19"/>
      <c r="S17" s="19">
        <v>545.36</v>
      </c>
      <c r="T17" s="37">
        <f t="shared" si="5"/>
        <v>545.36</v>
      </c>
      <c r="U17" s="37">
        <f t="shared" si="6"/>
        <v>12088.94</v>
      </c>
      <c r="X17" s="123">
        <f>+D17-U17</f>
        <v>21911.059999999998</v>
      </c>
    </row>
    <row r="18" spans="1:24" ht="18" customHeight="1">
      <c r="A18" s="18"/>
      <c r="B18" s="59"/>
      <c r="C18" s="28"/>
      <c r="D18" s="43"/>
      <c r="E18" s="19"/>
      <c r="F18" s="19"/>
      <c r="G18" s="19"/>
      <c r="H18" s="37">
        <f t="shared" si="2"/>
        <v>0</v>
      </c>
      <c r="I18" s="19"/>
      <c r="J18" s="19"/>
      <c r="K18" s="19"/>
      <c r="L18" s="37">
        <f t="shared" si="3"/>
        <v>0</v>
      </c>
      <c r="M18" s="19"/>
      <c r="N18" s="19"/>
      <c r="O18" s="19"/>
      <c r="P18" s="37">
        <f t="shared" si="4"/>
        <v>0</v>
      </c>
      <c r="Q18" s="19"/>
      <c r="R18" s="19"/>
      <c r="S18" s="19"/>
      <c r="T18" s="37">
        <f t="shared" si="5"/>
        <v>0</v>
      </c>
      <c r="U18" s="37">
        <f t="shared" si="6"/>
        <v>0</v>
      </c>
      <c r="X18" s="70">
        <f>+W18-V18</f>
        <v>0</v>
      </c>
    </row>
    <row r="19" spans="1:24" s="72" customFormat="1" ht="18" customHeight="1">
      <c r="A19" s="73" t="s">
        <v>14</v>
      </c>
      <c r="B19" s="74"/>
      <c r="C19" s="75"/>
      <c r="D19" s="76">
        <f aca="true" t="shared" si="10" ref="D19:K19">SUM(D20:D24)</f>
        <v>719500</v>
      </c>
      <c r="E19" s="76">
        <f t="shared" si="10"/>
        <v>8650</v>
      </c>
      <c r="F19" s="76">
        <f t="shared" si="10"/>
        <v>4200</v>
      </c>
      <c r="G19" s="76">
        <f t="shared" si="10"/>
        <v>650</v>
      </c>
      <c r="H19" s="76">
        <f t="shared" si="10"/>
        <v>13500</v>
      </c>
      <c r="I19" s="76">
        <f t="shared" si="10"/>
        <v>0</v>
      </c>
      <c r="J19" s="76">
        <f t="shared" si="10"/>
        <v>33225</v>
      </c>
      <c r="K19" s="76">
        <f t="shared" si="10"/>
        <v>0</v>
      </c>
      <c r="L19" s="76">
        <f aca="true" t="shared" si="11" ref="L19:T19">SUM(L20:L24)</f>
        <v>33225</v>
      </c>
      <c r="M19" s="76">
        <f t="shared" si="11"/>
        <v>0</v>
      </c>
      <c r="N19" s="76">
        <f t="shared" si="11"/>
        <v>9600</v>
      </c>
      <c r="O19" s="76">
        <f t="shared" si="11"/>
        <v>1000</v>
      </c>
      <c r="P19" s="76">
        <f t="shared" si="11"/>
        <v>10600</v>
      </c>
      <c r="Q19" s="76">
        <f t="shared" si="11"/>
        <v>19000</v>
      </c>
      <c r="R19" s="76">
        <f t="shared" si="11"/>
        <v>17100</v>
      </c>
      <c r="S19" s="76">
        <f t="shared" si="11"/>
        <v>482900</v>
      </c>
      <c r="T19" s="76">
        <f t="shared" si="11"/>
        <v>519000</v>
      </c>
      <c r="U19" s="76">
        <f t="shared" si="6"/>
        <v>576325</v>
      </c>
      <c r="V19" s="70">
        <f>SUM(U20:U24)</f>
        <v>576325</v>
      </c>
      <c r="W19" s="71">
        <f>SUM(D20:D24)</f>
        <v>719500</v>
      </c>
      <c r="X19" s="70">
        <f>+W19-V19</f>
        <v>143175</v>
      </c>
    </row>
    <row r="20" spans="1:24" ht="18" customHeight="1">
      <c r="A20" s="16"/>
      <c r="B20" s="61" t="s">
        <v>15</v>
      </c>
      <c r="C20" s="30"/>
      <c r="D20" s="45">
        <f>30000+30000+20000+20000+10000</f>
        <v>110000</v>
      </c>
      <c r="E20" s="17">
        <v>8150</v>
      </c>
      <c r="F20" s="17">
        <f>800+800+500+2100</f>
        <v>4200</v>
      </c>
      <c r="G20" s="17">
        <v>650</v>
      </c>
      <c r="H20" s="38">
        <f t="shared" si="2"/>
        <v>13000</v>
      </c>
      <c r="I20" s="17"/>
      <c r="J20" s="17">
        <f>15000+11650+6575</f>
        <v>33225</v>
      </c>
      <c r="K20" s="17"/>
      <c r="L20" s="38">
        <f t="shared" si="3"/>
        <v>33225</v>
      </c>
      <c r="M20" s="17"/>
      <c r="N20" s="17">
        <f>800+800</f>
        <v>1600</v>
      </c>
      <c r="O20" s="17">
        <v>500</v>
      </c>
      <c r="P20" s="38">
        <f t="shared" si="4"/>
        <v>2100</v>
      </c>
      <c r="Q20" s="17">
        <f>650+2100+15000</f>
        <v>17750</v>
      </c>
      <c r="R20" s="17"/>
      <c r="S20" s="17"/>
      <c r="T20" s="38">
        <f t="shared" si="5"/>
        <v>17750</v>
      </c>
      <c r="U20" s="38">
        <f t="shared" si="6"/>
        <v>66075</v>
      </c>
      <c r="X20" s="123">
        <f>+D20-U20</f>
        <v>43925</v>
      </c>
    </row>
    <row r="21" spans="1:24" ht="18" customHeight="1">
      <c r="A21" s="18"/>
      <c r="B21" s="59" t="s">
        <v>198</v>
      </c>
      <c r="C21" s="28" t="s">
        <v>147</v>
      </c>
      <c r="D21" s="43">
        <v>50000</v>
      </c>
      <c r="E21" s="19">
        <v>500</v>
      </c>
      <c r="F21" s="19"/>
      <c r="G21" s="19"/>
      <c r="H21" s="37">
        <f t="shared" si="2"/>
        <v>500</v>
      </c>
      <c r="I21" s="19"/>
      <c r="J21" s="19"/>
      <c r="K21" s="19"/>
      <c r="L21" s="37">
        <f t="shared" si="3"/>
        <v>0</v>
      </c>
      <c r="M21" s="19"/>
      <c r="N21" s="19">
        <v>2000</v>
      </c>
      <c r="O21" s="19">
        <v>500</v>
      </c>
      <c r="P21" s="37">
        <f t="shared" si="4"/>
        <v>2500</v>
      </c>
      <c r="Q21" s="19">
        <f>500+750</f>
        <v>1250</v>
      </c>
      <c r="R21" s="19"/>
      <c r="S21" s="19"/>
      <c r="T21" s="37">
        <f t="shared" si="5"/>
        <v>1250</v>
      </c>
      <c r="U21" s="37">
        <f t="shared" si="6"/>
        <v>4250</v>
      </c>
      <c r="X21" s="123">
        <f>+D21-U21</f>
        <v>45750</v>
      </c>
    </row>
    <row r="22" spans="1:24" ht="18" customHeight="1">
      <c r="A22" s="18"/>
      <c r="B22" s="59" t="s">
        <v>219</v>
      </c>
      <c r="C22" s="28"/>
      <c r="D22" s="43">
        <f>100000+150000+20000+50000-U21+130000+49500</f>
        <v>495250</v>
      </c>
      <c r="E22" s="19"/>
      <c r="F22" s="19"/>
      <c r="G22" s="19"/>
      <c r="H22" s="37">
        <f>SUM(E22:G22)</f>
        <v>0</v>
      </c>
      <c r="I22" s="19"/>
      <c r="J22" s="19"/>
      <c r="K22" s="19"/>
      <c r="L22" s="37">
        <f>SUM(I22:K22)</f>
        <v>0</v>
      </c>
      <c r="M22" s="19"/>
      <c r="N22" s="19"/>
      <c r="O22" s="19"/>
      <c r="P22" s="37">
        <f>SUM(M22:O22)</f>
        <v>0</v>
      </c>
      <c r="Q22" s="19"/>
      <c r="R22" s="19"/>
      <c r="S22" s="19">
        <v>473000</v>
      </c>
      <c r="T22" s="37">
        <f>SUM(Q22:S22)</f>
        <v>473000</v>
      </c>
      <c r="U22" s="37">
        <f t="shared" si="6"/>
        <v>473000</v>
      </c>
      <c r="X22" s="123">
        <f>+D22-U22</f>
        <v>22250</v>
      </c>
    </row>
    <row r="23" spans="1:24" ht="18" customHeight="1">
      <c r="A23" s="18"/>
      <c r="B23" s="59" t="s">
        <v>225</v>
      </c>
      <c r="C23" s="28"/>
      <c r="D23" s="43">
        <v>14250</v>
      </c>
      <c r="E23" s="19"/>
      <c r="F23" s="19"/>
      <c r="G23" s="19"/>
      <c r="H23" s="37"/>
      <c r="I23" s="19"/>
      <c r="J23" s="19"/>
      <c r="K23" s="19"/>
      <c r="L23" s="37"/>
      <c r="M23" s="19"/>
      <c r="N23" s="19"/>
      <c r="O23" s="19"/>
      <c r="P23" s="37"/>
      <c r="Q23" s="19"/>
      <c r="R23" s="19"/>
      <c r="S23" s="19"/>
      <c r="T23" s="37"/>
      <c r="U23" s="37"/>
      <c r="X23" s="123"/>
    </row>
    <row r="24" spans="1:24" ht="18" customHeight="1">
      <c r="A24" s="18"/>
      <c r="B24" s="59" t="s">
        <v>197</v>
      </c>
      <c r="C24" s="28"/>
      <c r="D24" s="43">
        <v>50000</v>
      </c>
      <c r="E24" s="19"/>
      <c r="F24" s="19"/>
      <c r="G24" s="19"/>
      <c r="H24" s="37">
        <f t="shared" si="2"/>
        <v>0</v>
      </c>
      <c r="I24" s="19"/>
      <c r="J24" s="19"/>
      <c r="K24" s="19"/>
      <c r="L24" s="37">
        <f t="shared" si="3"/>
        <v>0</v>
      </c>
      <c r="M24" s="19"/>
      <c r="N24" s="19">
        <v>6000</v>
      </c>
      <c r="O24" s="19"/>
      <c r="P24" s="37">
        <f t="shared" si="4"/>
        <v>6000</v>
      </c>
      <c r="Q24" s="19"/>
      <c r="R24" s="19">
        <v>17100</v>
      </c>
      <c r="S24" s="19">
        <v>9900</v>
      </c>
      <c r="T24" s="37">
        <f t="shared" si="5"/>
        <v>27000</v>
      </c>
      <c r="U24" s="37">
        <f aca="true" t="shared" si="12" ref="U24:U55">+H24+L24+P24+T24</f>
        <v>33000</v>
      </c>
      <c r="X24" s="123">
        <f>+D24-U24</f>
        <v>17000</v>
      </c>
    </row>
    <row r="25" spans="1:24" s="72" customFormat="1" ht="18" customHeight="1">
      <c r="A25" s="73" t="s">
        <v>90</v>
      </c>
      <c r="B25" s="74"/>
      <c r="C25" s="75"/>
      <c r="D25" s="76">
        <f aca="true" t="shared" si="13" ref="D25:K25">SUM(D26:D48)</f>
        <v>1507000</v>
      </c>
      <c r="E25" s="76">
        <f t="shared" si="13"/>
        <v>0</v>
      </c>
      <c r="F25" s="76">
        <f t="shared" si="13"/>
        <v>25708.18</v>
      </c>
      <c r="G25" s="76">
        <f t="shared" si="13"/>
        <v>97365.03</v>
      </c>
      <c r="H25" s="76">
        <f t="shared" si="13"/>
        <v>123073.20999999999</v>
      </c>
      <c r="I25" s="76">
        <f t="shared" si="13"/>
        <v>32370.58</v>
      </c>
      <c r="J25" s="76">
        <f t="shared" si="13"/>
        <v>134577.31</v>
      </c>
      <c r="K25" s="76">
        <f t="shared" si="13"/>
        <v>17853.83</v>
      </c>
      <c r="L25" s="76">
        <f aca="true" t="shared" si="14" ref="L25:T25">SUM(L26:L48)</f>
        <v>184801.72</v>
      </c>
      <c r="M25" s="76">
        <f t="shared" si="14"/>
        <v>101835.70999999999</v>
      </c>
      <c r="N25" s="76">
        <f t="shared" si="14"/>
        <v>168618.49</v>
      </c>
      <c r="O25" s="76">
        <f t="shared" si="14"/>
        <v>92823.08</v>
      </c>
      <c r="P25" s="76">
        <f t="shared" si="14"/>
        <v>363277.28</v>
      </c>
      <c r="Q25" s="76">
        <f t="shared" si="14"/>
        <v>99250.43</v>
      </c>
      <c r="R25" s="76">
        <f t="shared" si="14"/>
        <v>246843.28999999998</v>
      </c>
      <c r="S25" s="76">
        <f t="shared" si="14"/>
        <v>187048.08</v>
      </c>
      <c r="T25" s="76">
        <f t="shared" si="14"/>
        <v>533141.8</v>
      </c>
      <c r="U25" s="76">
        <f t="shared" si="12"/>
        <v>1204294.01</v>
      </c>
      <c r="V25" s="70">
        <f>SUM(U26:U48)</f>
        <v>1204294.01</v>
      </c>
      <c r="W25" s="71">
        <f>SUM(D26:D48)</f>
        <v>1507000</v>
      </c>
      <c r="X25" s="70">
        <f>+W25-V25</f>
        <v>302705.99</v>
      </c>
    </row>
    <row r="26" spans="1:24" ht="18" customHeight="1">
      <c r="A26" s="16"/>
      <c r="B26" s="61" t="s">
        <v>91</v>
      </c>
      <c r="C26" s="30" t="s">
        <v>144</v>
      </c>
      <c r="D26" s="45">
        <f>450000-4300-7200-4500-30000-50000</f>
        <v>354000</v>
      </c>
      <c r="E26" s="17"/>
      <c r="F26" s="17">
        <v>25708.18</v>
      </c>
      <c r="G26" s="17">
        <v>14119.03</v>
      </c>
      <c r="H26" s="38">
        <f t="shared" si="2"/>
        <v>39827.21</v>
      </c>
      <c r="I26" s="17">
        <v>17570.58</v>
      </c>
      <c r="J26" s="17">
        <v>14480.29</v>
      </c>
      <c r="K26" s="17">
        <v>16890.83</v>
      </c>
      <c r="L26" s="38">
        <f t="shared" si="3"/>
        <v>48941.700000000004</v>
      </c>
      <c r="M26" s="17">
        <v>12738.39</v>
      </c>
      <c r="N26" s="17">
        <v>16720.49</v>
      </c>
      <c r="O26" s="17">
        <f>15667.28+52917.8</f>
        <v>68585.08</v>
      </c>
      <c r="P26" s="38">
        <f t="shared" si="4"/>
        <v>98043.96</v>
      </c>
      <c r="Q26" s="17">
        <f>16237.43+75244</f>
        <v>91481.43</v>
      </c>
      <c r="R26" s="17">
        <v>15433.93</v>
      </c>
      <c r="S26" s="17">
        <f>18150.74+22401.38</f>
        <v>40552.12</v>
      </c>
      <c r="T26" s="38">
        <f t="shared" si="5"/>
        <v>147467.47999999998</v>
      </c>
      <c r="U26" s="38">
        <f t="shared" si="12"/>
        <v>334280.35</v>
      </c>
      <c r="X26" s="123">
        <f>+D26-U26</f>
        <v>19719.650000000023</v>
      </c>
    </row>
    <row r="27" spans="1:24" ht="18" customHeight="1">
      <c r="A27" s="18"/>
      <c r="B27" s="59" t="s">
        <v>130</v>
      </c>
      <c r="C27" s="28" t="s">
        <v>144</v>
      </c>
      <c r="D27" s="43">
        <f>150000+30000</f>
        <v>180000</v>
      </c>
      <c r="E27" s="19"/>
      <c r="F27" s="19"/>
      <c r="G27" s="19">
        <f>600+17768</f>
        <v>18368</v>
      </c>
      <c r="H27" s="37">
        <f t="shared" si="2"/>
        <v>18368</v>
      </c>
      <c r="I27" s="19"/>
      <c r="J27" s="19">
        <v>620</v>
      </c>
      <c r="K27" s="19"/>
      <c r="L27" s="37">
        <f t="shared" si="3"/>
        <v>620</v>
      </c>
      <c r="M27" s="19">
        <v>590</v>
      </c>
      <c r="N27" s="19">
        <v>34370</v>
      </c>
      <c r="O27" s="19">
        <f>1908+600</f>
        <v>2508</v>
      </c>
      <c r="P27" s="37">
        <f t="shared" si="4"/>
        <v>37468</v>
      </c>
      <c r="Q27" s="19"/>
      <c r="R27" s="19">
        <f>34750+610</f>
        <v>35360</v>
      </c>
      <c r="S27" s="19">
        <f>2000+590</f>
        <v>2590</v>
      </c>
      <c r="T27" s="37">
        <f t="shared" si="5"/>
        <v>37950</v>
      </c>
      <c r="U27" s="37">
        <f t="shared" si="12"/>
        <v>94406</v>
      </c>
      <c r="V27" s="58"/>
      <c r="X27" s="123">
        <f>+D27-U27</f>
        <v>85594</v>
      </c>
    </row>
    <row r="28" spans="1:24" ht="18" customHeight="1">
      <c r="A28" s="18"/>
      <c r="B28" s="59" t="s">
        <v>126</v>
      </c>
      <c r="C28" s="28" t="s">
        <v>146</v>
      </c>
      <c r="D28" s="43">
        <v>60000</v>
      </c>
      <c r="E28" s="19"/>
      <c r="F28" s="19"/>
      <c r="G28" s="19">
        <v>4720</v>
      </c>
      <c r="H28" s="37">
        <f>SUM(E28:G28)</f>
        <v>4720</v>
      </c>
      <c r="I28" s="19"/>
      <c r="J28" s="19"/>
      <c r="K28" s="19"/>
      <c r="L28" s="37">
        <f>SUM(I28:K28)</f>
        <v>0</v>
      </c>
      <c r="M28" s="19"/>
      <c r="N28" s="19">
        <v>10018</v>
      </c>
      <c r="O28" s="19">
        <v>18630</v>
      </c>
      <c r="P28" s="37">
        <f>SUM(M28:O28)</f>
        <v>28648</v>
      </c>
      <c r="Q28" s="19"/>
      <c r="R28" s="19"/>
      <c r="S28" s="19">
        <v>9970</v>
      </c>
      <c r="T28" s="37">
        <f>SUM(Q28:S28)</f>
        <v>9970</v>
      </c>
      <c r="U28" s="37">
        <f t="shared" si="12"/>
        <v>43338</v>
      </c>
      <c r="X28" s="123">
        <f>+D28-U28</f>
        <v>16662</v>
      </c>
    </row>
    <row r="29" spans="1:24" ht="18" customHeight="1">
      <c r="A29" s="18"/>
      <c r="B29" s="59" t="s">
        <v>127</v>
      </c>
      <c r="C29" s="28" t="s">
        <v>147</v>
      </c>
      <c r="D29" s="43">
        <v>10000</v>
      </c>
      <c r="E29" s="19"/>
      <c r="F29" s="19"/>
      <c r="G29" s="19"/>
      <c r="H29" s="37">
        <f>SUM(E29:G29)</f>
        <v>0</v>
      </c>
      <c r="I29" s="19"/>
      <c r="J29" s="19"/>
      <c r="K29" s="19"/>
      <c r="L29" s="37">
        <f>SUM(I29:K29)</f>
        <v>0</v>
      </c>
      <c r="M29" s="19"/>
      <c r="N29" s="19"/>
      <c r="O29" s="19"/>
      <c r="P29" s="37">
        <f>SUM(M29:O29)</f>
        <v>0</v>
      </c>
      <c r="Q29" s="19"/>
      <c r="R29" s="19">
        <v>2280</v>
      </c>
      <c r="S29" s="19"/>
      <c r="T29" s="37">
        <f>SUM(Q29:S29)</f>
        <v>2280</v>
      </c>
      <c r="U29" s="37">
        <f t="shared" si="12"/>
        <v>2280</v>
      </c>
      <c r="X29" s="123">
        <f>+D29-U29</f>
        <v>7720</v>
      </c>
    </row>
    <row r="30" spans="1:24" ht="18" customHeight="1">
      <c r="A30" s="18"/>
      <c r="B30" s="59" t="s">
        <v>128</v>
      </c>
      <c r="C30" s="28" t="s">
        <v>148</v>
      </c>
      <c r="D30" s="43">
        <f>20000-10000-5000</f>
        <v>5000</v>
      </c>
      <c r="E30" s="19"/>
      <c r="F30" s="19"/>
      <c r="G30" s="19"/>
      <c r="H30" s="37">
        <f>SUM(E30:G30)</f>
        <v>0</v>
      </c>
      <c r="I30" s="19"/>
      <c r="J30" s="19"/>
      <c r="K30" s="19"/>
      <c r="L30" s="37">
        <f>SUM(I30:K30)</f>
        <v>0</v>
      </c>
      <c r="M30" s="19"/>
      <c r="N30" s="19"/>
      <c r="O30" s="19"/>
      <c r="P30" s="37">
        <f>SUM(M30:O30)</f>
        <v>0</v>
      </c>
      <c r="Q30" s="19">
        <v>1644</v>
      </c>
      <c r="R30" s="19"/>
      <c r="S30" s="19"/>
      <c r="T30" s="37">
        <f>SUM(Q30:S30)</f>
        <v>1644</v>
      </c>
      <c r="U30" s="37">
        <f t="shared" si="12"/>
        <v>1644</v>
      </c>
      <c r="X30" s="123">
        <f>+D30-U30</f>
        <v>3356</v>
      </c>
    </row>
    <row r="31" spans="1:24" ht="18" customHeight="1">
      <c r="A31" s="18"/>
      <c r="B31" s="59" t="s">
        <v>208</v>
      </c>
      <c r="C31" s="28"/>
      <c r="D31" s="43">
        <v>20000</v>
      </c>
      <c r="E31" s="19"/>
      <c r="F31" s="19"/>
      <c r="G31" s="19"/>
      <c r="H31" s="37">
        <f>SUM(E31:G31)</f>
        <v>0</v>
      </c>
      <c r="I31" s="19"/>
      <c r="J31" s="19"/>
      <c r="K31" s="19"/>
      <c r="L31" s="37">
        <f>SUM(I31:K31)</f>
        <v>0</v>
      </c>
      <c r="M31" s="19"/>
      <c r="N31" s="19"/>
      <c r="O31" s="19"/>
      <c r="P31" s="37">
        <f>SUM(M31:O31)</f>
        <v>0</v>
      </c>
      <c r="Q31" s="19">
        <v>3750</v>
      </c>
      <c r="R31" s="19"/>
      <c r="S31" s="19"/>
      <c r="T31" s="37">
        <f>SUM(Q31:S31)</f>
        <v>3750</v>
      </c>
      <c r="U31" s="37">
        <f t="shared" si="12"/>
        <v>3750</v>
      </c>
      <c r="X31" s="123"/>
    </row>
    <row r="32" spans="1:24" ht="18" customHeight="1">
      <c r="A32" s="18"/>
      <c r="B32" s="59" t="s">
        <v>129</v>
      </c>
      <c r="C32" s="28" t="s">
        <v>144</v>
      </c>
      <c r="D32" s="43">
        <f>50000-10000</f>
        <v>40000</v>
      </c>
      <c r="E32" s="19"/>
      <c r="F32" s="19"/>
      <c r="G32" s="19"/>
      <c r="H32" s="37">
        <f aca="true" t="shared" si="15" ref="H32:H37">SUM(E32:G32)</f>
        <v>0</v>
      </c>
      <c r="I32" s="19"/>
      <c r="J32" s="19"/>
      <c r="K32" s="19">
        <v>963</v>
      </c>
      <c r="L32" s="37">
        <f aca="true" t="shared" si="16" ref="L32:L37">SUM(I32:K32)</f>
        <v>963</v>
      </c>
      <c r="M32" s="19"/>
      <c r="N32" s="19">
        <v>34800</v>
      </c>
      <c r="O32" s="19">
        <v>3100</v>
      </c>
      <c r="P32" s="37">
        <f aca="true" t="shared" si="17" ref="P32:P37">SUM(M32:O32)</f>
        <v>37900</v>
      </c>
      <c r="Q32" s="19"/>
      <c r="R32" s="19"/>
      <c r="S32" s="19"/>
      <c r="T32" s="37">
        <f aca="true" t="shared" si="18" ref="T32:T37">SUM(Q32:S32)</f>
        <v>0</v>
      </c>
      <c r="U32" s="37">
        <f t="shared" si="12"/>
        <v>38863</v>
      </c>
      <c r="X32" s="123">
        <f aca="true" t="shared" si="19" ref="X32:X48">+D32-U32</f>
        <v>1137</v>
      </c>
    </row>
    <row r="33" spans="1:24" ht="18" customHeight="1">
      <c r="A33" s="18"/>
      <c r="B33" s="59" t="s">
        <v>141</v>
      </c>
      <c r="C33" s="28" t="s">
        <v>147</v>
      </c>
      <c r="D33" s="43">
        <v>10000</v>
      </c>
      <c r="E33" s="19"/>
      <c r="F33" s="19"/>
      <c r="G33" s="19"/>
      <c r="H33" s="37"/>
      <c r="I33" s="19"/>
      <c r="J33" s="19"/>
      <c r="K33" s="19"/>
      <c r="L33" s="37">
        <f t="shared" si="16"/>
        <v>0</v>
      </c>
      <c r="M33" s="19"/>
      <c r="N33" s="19"/>
      <c r="O33" s="19"/>
      <c r="P33" s="37">
        <f t="shared" si="17"/>
        <v>0</v>
      </c>
      <c r="Q33" s="19"/>
      <c r="R33" s="19"/>
      <c r="S33" s="19"/>
      <c r="T33" s="37">
        <f t="shared" si="18"/>
        <v>0</v>
      </c>
      <c r="U33" s="37">
        <f t="shared" si="12"/>
        <v>0</v>
      </c>
      <c r="X33" s="123">
        <f t="shared" si="19"/>
        <v>10000</v>
      </c>
    </row>
    <row r="34" spans="1:24" ht="18" customHeight="1">
      <c r="A34" s="18"/>
      <c r="B34" s="59" t="s">
        <v>140</v>
      </c>
      <c r="C34" s="28" t="s">
        <v>147</v>
      </c>
      <c r="D34" s="43">
        <v>90000</v>
      </c>
      <c r="E34" s="19"/>
      <c r="F34" s="19"/>
      <c r="G34" s="19"/>
      <c r="H34" s="37">
        <f>SUM(E34:G34)</f>
        <v>0</v>
      </c>
      <c r="I34" s="19"/>
      <c r="J34" s="19">
        <v>47630</v>
      </c>
      <c r="K34" s="19"/>
      <c r="L34" s="37">
        <f t="shared" si="16"/>
        <v>47630</v>
      </c>
      <c r="M34" s="19"/>
      <c r="N34" s="19"/>
      <c r="O34" s="19"/>
      <c r="P34" s="37">
        <f t="shared" si="17"/>
        <v>0</v>
      </c>
      <c r="Q34" s="19"/>
      <c r="R34" s="19">
        <v>39390</v>
      </c>
      <c r="S34" s="19"/>
      <c r="T34" s="37">
        <f t="shared" si="18"/>
        <v>39390</v>
      </c>
      <c r="U34" s="37">
        <f t="shared" si="12"/>
        <v>87020</v>
      </c>
      <c r="X34" s="123">
        <f t="shared" si="19"/>
        <v>2980</v>
      </c>
    </row>
    <row r="35" spans="1:24" ht="18" customHeight="1">
      <c r="A35" s="18"/>
      <c r="B35" s="59" t="s">
        <v>136</v>
      </c>
      <c r="C35" s="28" t="s">
        <v>149</v>
      </c>
      <c r="D35" s="43">
        <v>20000</v>
      </c>
      <c r="E35" s="19"/>
      <c r="F35" s="19"/>
      <c r="G35" s="19">
        <v>1498</v>
      </c>
      <c r="H35" s="37">
        <f>SUM(E35:G35)</f>
        <v>1498</v>
      </c>
      <c r="I35" s="19"/>
      <c r="J35" s="19"/>
      <c r="K35" s="19"/>
      <c r="L35" s="37">
        <f t="shared" si="16"/>
        <v>0</v>
      </c>
      <c r="M35" s="19">
        <v>1380</v>
      </c>
      <c r="N35" s="19"/>
      <c r="O35" s="19"/>
      <c r="P35" s="37">
        <f t="shared" si="17"/>
        <v>1380</v>
      </c>
      <c r="Q35" s="19">
        <v>845</v>
      </c>
      <c r="R35" s="19">
        <v>8350</v>
      </c>
      <c r="S35" s="19"/>
      <c r="T35" s="37">
        <f t="shared" si="18"/>
        <v>9195</v>
      </c>
      <c r="U35" s="37">
        <f t="shared" si="12"/>
        <v>12073</v>
      </c>
      <c r="X35" s="123">
        <f t="shared" si="19"/>
        <v>7927</v>
      </c>
    </row>
    <row r="36" spans="1:24" ht="18" customHeight="1">
      <c r="A36" s="18"/>
      <c r="B36" s="59" t="s">
        <v>92</v>
      </c>
      <c r="C36" s="28" t="s">
        <v>144</v>
      </c>
      <c r="D36" s="43">
        <v>20000</v>
      </c>
      <c r="E36" s="19"/>
      <c r="F36" s="19"/>
      <c r="G36" s="19"/>
      <c r="H36" s="37">
        <f t="shared" si="15"/>
        <v>0</v>
      </c>
      <c r="I36" s="19"/>
      <c r="J36" s="19"/>
      <c r="K36" s="19"/>
      <c r="L36" s="37">
        <f t="shared" si="16"/>
        <v>0</v>
      </c>
      <c r="M36" s="19"/>
      <c r="N36" s="19"/>
      <c r="O36" s="19"/>
      <c r="P36" s="37">
        <f t="shared" si="17"/>
        <v>0</v>
      </c>
      <c r="Q36" s="19"/>
      <c r="R36" s="19"/>
      <c r="S36" s="19"/>
      <c r="T36" s="37">
        <f t="shared" si="18"/>
        <v>0</v>
      </c>
      <c r="U36" s="37">
        <f t="shared" si="12"/>
        <v>0</v>
      </c>
      <c r="X36" s="123">
        <f t="shared" si="19"/>
        <v>20000</v>
      </c>
    </row>
    <row r="37" spans="1:24" ht="18" customHeight="1">
      <c r="A37" s="18"/>
      <c r="B37" s="59" t="s">
        <v>132</v>
      </c>
      <c r="C37" s="28" t="s">
        <v>144</v>
      </c>
      <c r="D37" s="43">
        <f>40000+30000</f>
        <v>70000</v>
      </c>
      <c r="E37" s="19"/>
      <c r="F37" s="19"/>
      <c r="G37" s="19">
        <v>24900</v>
      </c>
      <c r="H37" s="37">
        <f t="shared" si="15"/>
        <v>24900</v>
      </c>
      <c r="I37" s="19"/>
      <c r="J37" s="19"/>
      <c r="K37" s="19"/>
      <c r="L37" s="37">
        <f t="shared" si="16"/>
        <v>0</v>
      </c>
      <c r="M37" s="19"/>
      <c r="N37" s="19">
        <v>15000</v>
      </c>
      <c r="O37" s="19"/>
      <c r="P37" s="37">
        <f t="shared" si="17"/>
        <v>15000</v>
      </c>
      <c r="Q37" s="19"/>
      <c r="R37" s="19"/>
      <c r="S37" s="19">
        <v>26000</v>
      </c>
      <c r="T37" s="37">
        <f t="shared" si="18"/>
        <v>26000</v>
      </c>
      <c r="U37" s="37">
        <f t="shared" si="12"/>
        <v>65900</v>
      </c>
      <c r="X37" s="123">
        <f t="shared" si="19"/>
        <v>4100</v>
      </c>
    </row>
    <row r="38" spans="1:24" ht="18" customHeight="1">
      <c r="A38" s="18"/>
      <c r="B38" s="59" t="s">
        <v>134</v>
      </c>
      <c r="C38" s="28" t="s">
        <v>146</v>
      </c>
      <c r="D38" s="43">
        <v>30000</v>
      </c>
      <c r="E38" s="19"/>
      <c r="F38" s="19"/>
      <c r="G38" s="19">
        <v>3000</v>
      </c>
      <c r="H38" s="37">
        <f>SUM(E38:G38)</f>
        <v>3000</v>
      </c>
      <c r="I38" s="19"/>
      <c r="J38" s="19"/>
      <c r="K38" s="19"/>
      <c r="L38" s="37">
        <f>SUM(I38:K38)</f>
        <v>0</v>
      </c>
      <c r="M38" s="19"/>
      <c r="N38" s="19">
        <v>26600</v>
      </c>
      <c r="O38" s="19"/>
      <c r="P38" s="37">
        <f>SUM(M38:O38)</f>
        <v>26600</v>
      </c>
      <c r="Q38" s="19"/>
      <c r="R38" s="19"/>
      <c r="S38" s="19"/>
      <c r="T38" s="37">
        <f>SUM(Q38:S38)</f>
        <v>0</v>
      </c>
      <c r="U38" s="37">
        <f t="shared" si="12"/>
        <v>29600</v>
      </c>
      <c r="X38" s="123">
        <f t="shared" si="19"/>
        <v>400</v>
      </c>
    </row>
    <row r="39" spans="1:24" ht="18" customHeight="1">
      <c r="A39" s="18"/>
      <c r="B39" s="59" t="s">
        <v>142</v>
      </c>
      <c r="C39" s="28" t="s">
        <v>147</v>
      </c>
      <c r="D39" s="43">
        <v>20000</v>
      </c>
      <c r="E39" s="19"/>
      <c r="F39" s="19"/>
      <c r="G39" s="19"/>
      <c r="H39" s="37">
        <f>SUM(E39:G39)</f>
        <v>0</v>
      </c>
      <c r="I39" s="19"/>
      <c r="J39" s="19"/>
      <c r="K39" s="19"/>
      <c r="L39" s="37">
        <f>SUM(I39:K39)</f>
        <v>0</v>
      </c>
      <c r="M39" s="19"/>
      <c r="N39" s="19">
        <v>19450</v>
      </c>
      <c r="O39" s="19"/>
      <c r="P39" s="37">
        <f>SUM(M39:O39)</f>
        <v>19450</v>
      </c>
      <c r="Q39" s="19"/>
      <c r="R39" s="19"/>
      <c r="S39" s="19"/>
      <c r="T39" s="37">
        <f>SUM(Q39:S39)</f>
        <v>0</v>
      </c>
      <c r="U39" s="37">
        <f t="shared" si="12"/>
        <v>19450</v>
      </c>
      <c r="X39" s="123">
        <f t="shared" si="19"/>
        <v>550</v>
      </c>
    </row>
    <row r="40" spans="1:24" ht="18" customHeight="1">
      <c r="A40" s="18"/>
      <c r="B40" s="59" t="s">
        <v>137</v>
      </c>
      <c r="C40" s="28" t="s">
        <v>148</v>
      </c>
      <c r="D40" s="43">
        <f>10000+10000</f>
        <v>20000</v>
      </c>
      <c r="E40" s="19"/>
      <c r="F40" s="19"/>
      <c r="G40" s="19">
        <v>9760</v>
      </c>
      <c r="H40" s="37">
        <f>SUM(E40:G40)</f>
        <v>9760</v>
      </c>
      <c r="I40" s="19"/>
      <c r="J40" s="19"/>
      <c r="K40" s="19"/>
      <c r="L40" s="37">
        <f>SUM(I40:K40)</f>
        <v>0</v>
      </c>
      <c r="M40" s="19"/>
      <c r="N40" s="19">
        <v>9760</v>
      </c>
      <c r="O40" s="19"/>
      <c r="P40" s="37">
        <f>SUM(M40:O40)</f>
        <v>9760</v>
      </c>
      <c r="Q40" s="19"/>
      <c r="R40" s="19"/>
      <c r="S40" s="19"/>
      <c r="T40" s="37">
        <f>SUM(Q40:S40)</f>
        <v>0</v>
      </c>
      <c r="U40" s="37">
        <f t="shared" si="12"/>
        <v>19520</v>
      </c>
      <c r="X40" s="123">
        <f t="shared" si="19"/>
        <v>480</v>
      </c>
    </row>
    <row r="41" spans="1:24" ht="18" customHeight="1">
      <c r="A41" s="18"/>
      <c r="B41" s="59" t="s">
        <v>131</v>
      </c>
      <c r="C41" s="28" t="s">
        <v>144</v>
      </c>
      <c r="D41" s="43">
        <f>100000</f>
        <v>100000</v>
      </c>
      <c r="E41" s="19"/>
      <c r="F41" s="19"/>
      <c r="G41" s="19"/>
      <c r="H41" s="37">
        <f aca="true" t="shared" si="20" ref="H41:H73">SUM(E41:G41)</f>
        <v>0</v>
      </c>
      <c r="I41" s="19"/>
      <c r="J41" s="19"/>
      <c r="K41" s="19"/>
      <c r="L41" s="37">
        <f aca="true" t="shared" si="21" ref="L41:L73">SUM(I41:K41)</f>
        <v>0</v>
      </c>
      <c r="M41" s="19"/>
      <c r="N41" s="19"/>
      <c r="O41" s="19"/>
      <c r="P41" s="37">
        <f aca="true" t="shared" si="22" ref="P41:P73">SUM(M41:O41)</f>
        <v>0</v>
      </c>
      <c r="Q41" s="19"/>
      <c r="R41" s="19">
        <v>84000</v>
      </c>
      <c r="S41" s="19">
        <f>990+9500+2330</f>
        <v>12820</v>
      </c>
      <c r="T41" s="37">
        <f aca="true" t="shared" si="23" ref="T41:T73">SUM(Q41:S41)</f>
        <v>96820</v>
      </c>
      <c r="U41" s="37">
        <f t="shared" si="12"/>
        <v>96820</v>
      </c>
      <c r="X41" s="123">
        <f t="shared" si="19"/>
        <v>3180</v>
      </c>
    </row>
    <row r="42" spans="1:24" ht="18" customHeight="1">
      <c r="A42" s="18"/>
      <c r="B42" s="59" t="s">
        <v>133</v>
      </c>
      <c r="C42" s="28" t="s">
        <v>146</v>
      </c>
      <c r="D42" s="43">
        <v>3000</v>
      </c>
      <c r="E42" s="19"/>
      <c r="F42" s="19"/>
      <c r="G42" s="19"/>
      <c r="H42" s="37">
        <f>SUM(E42:G42)</f>
        <v>0</v>
      </c>
      <c r="I42" s="19"/>
      <c r="J42" s="19"/>
      <c r="K42" s="19"/>
      <c r="L42" s="37">
        <f>SUM(I42:K42)</f>
        <v>0</v>
      </c>
      <c r="M42" s="19"/>
      <c r="N42" s="19">
        <v>1900</v>
      </c>
      <c r="O42" s="19"/>
      <c r="P42" s="37">
        <f>SUM(M42:O42)</f>
        <v>1900</v>
      </c>
      <c r="Q42" s="19"/>
      <c r="R42" s="19"/>
      <c r="S42" s="19"/>
      <c r="T42" s="37">
        <f>SUM(Q42:S42)</f>
        <v>0</v>
      </c>
      <c r="U42" s="37">
        <f t="shared" si="12"/>
        <v>1900</v>
      </c>
      <c r="X42" s="123">
        <f t="shared" si="19"/>
        <v>1100</v>
      </c>
    </row>
    <row r="43" spans="1:24" ht="18" customHeight="1">
      <c r="A43" s="18"/>
      <c r="B43" s="59" t="s">
        <v>138</v>
      </c>
      <c r="C43" s="28" t="s">
        <v>148</v>
      </c>
      <c r="D43" s="43">
        <v>30000</v>
      </c>
      <c r="E43" s="19"/>
      <c r="F43" s="19"/>
      <c r="G43" s="19"/>
      <c r="H43" s="37">
        <f>SUM(E43:G43)</f>
        <v>0</v>
      </c>
      <c r="I43" s="19"/>
      <c r="J43" s="19"/>
      <c r="K43" s="19"/>
      <c r="L43" s="37">
        <f>SUM(I43:K43)</f>
        <v>0</v>
      </c>
      <c r="M43" s="19"/>
      <c r="N43" s="19"/>
      <c r="O43" s="19"/>
      <c r="P43" s="37">
        <f>SUM(M43:O43)</f>
        <v>0</v>
      </c>
      <c r="Q43" s="19">
        <v>1530</v>
      </c>
      <c r="R43" s="19">
        <f>480+3040</f>
        <v>3520</v>
      </c>
      <c r="S43" s="19"/>
      <c r="T43" s="37">
        <f>SUM(Q43:S43)</f>
        <v>5050</v>
      </c>
      <c r="U43" s="37">
        <f t="shared" si="12"/>
        <v>5050</v>
      </c>
      <c r="X43" s="123">
        <f t="shared" si="19"/>
        <v>24950</v>
      </c>
    </row>
    <row r="44" spans="1:24" ht="18" customHeight="1">
      <c r="A44" s="18"/>
      <c r="B44" s="59" t="s">
        <v>135</v>
      </c>
      <c r="C44" s="28" t="s">
        <v>146</v>
      </c>
      <c r="D44" s="43">
        <v>20000</v>
      </c>
      <c r="E44" s="19"/>
      <c r="F44" s="19"/>
      <c r="G44" s="19">
        <v>14000</v>
      </c>
      <c r="H44" s="37">
        <f>SUM(E44:G44)</f>
        <v>14000</v>
      </c>
      <c r="I44" s="19"/>
      <c r="J44" s="19"/>
      <c r="K44" s="19"/>
      <c r="L44" s="37">
        <f>SUM(I44:K44)</f>
        <v>0</v>
      </c>
      <c r="M44" s="19"/>
      <c r="N44" s="19"/>
      <c r="O44" s="19"/>
      <c r="P44" s="37">
        <f>SUM(M44:O44)</f>
        <v>0</v>
      </c>
      <c r="Q44" s="19"/>
      <c r="R44" s="19"/>
      <c r="S44" s="19"/>
      <c r="T44" s="37">
        <f>SUM(Q44:S44)</f>
        <v>0</v>
      </c>
      <c r="U44" s="37">
        <f t="shared" si="12"/>
        <v>14000</v>
      </c>
      <c r="X44" s="123">
        <f t="shared" si="19"/>
        <v>6000</v>
      </c>
    </row>
    <row r="45" spans="1:24" ht="18" customHeight="1">
      <c r="A45" s="18"/>
      <c r="B45" s="59" t="s">
        <v>143</v>
      </c>
      <c r="C45" s="28" t="s">
        <v>149</v>
      </c>
      <c r="D45" s="43">
        <v>30000</v>
      </c>
      <c r="E45" s="19"/>
      <c r="F45" s="19"/>
      <c r="G45" s="19"/>
      <c r="H45" s="37">
        <f t="shared" si="20"/>
        <v>0</v>
      </c>
      <c r="I45" s="19">
        <v>14800</v>
      </c>
      <c r="J45" s="19"/>
      <c r="K45" s="19"/>
      <c r="L45" s="37">
        <f t="shared" si="21"/>
        <v>14800</v>
      </c>
      <c r="M45" s="19"/>
      <c r="N45" s="19"/>
      <c r="O45" s="19"/>
      <c r="P45" s="37">
        <f t="shared" si="22"/>
        <v>0</v>
      </c>
      <c r="Q45" s="19"/>
      <c r="R45" s="19"/>
      <c r="S45" s="19"/>
      <c r="T45" s="37">
        <f t="shared" si="23"/>
        <v>0</v>
      </c>
      <c r="U45" s="37">
        <f t="shared" si="12"/>
        <v>14800</v>
      </c>
      <c r="X45" s="123">
        <f t="shared" si="19"/>
        <v>15200</v>
      </c>
    </row>
    <row r="46" spans="1:24" ht="18" customHeight="1">
      <c r="A46" s="18"/>
      <c r="B46" s="59" t="s">
        <v>139</v>
      </c>
      <c r="C46" s="28" t="s">
        <v>148</v>
      </c>
      <c r="D46" s="43">
        <f>30000-7000</f>
        <v>23000</v>
      </c>
      <c r="E46" s="19"/>
      <c r="F46" s="19"/>
      <c r="G46" s="19"/>
      <c r="H46" s="37">
        <f t="shared" si="20"/>
        <v>0</v>
      </c>
      <c r="I46" s="19"/>
      <c r="J46" s="19"/>
      <c r="K46" s="19"/>
      <c r="L46" s="37">
        <f t="shared" si="21"/>
        <v>0</v>
      </c>
      <c r="M46" s="19"/>
      <c r="N46" s="19"/>
      <c r="O46" s="19"/>
      <c r="P46" s="37">
        <f t="shared" si="22"/>
        <v>0</v>
      </c>
      <c r="Q46" s="19"/>
      <c r="R46" s="19"/>
      <c r="S46" s="19"/>
      <c r="T46" s="37">
        <f t="shared" si="23"/>
        <v>0</v>
      </c>
      <c r="U46" s="37">
        <f t="shared" si="12"/>
        <v>0</v>
      </c>
      <c r="X46" s="123">
        <f t="shared" si="19"/>
        <v>23000</v>
      </c>
    </row>
    <row r="47" spans="1:24" ht="18" customHeight="1">
      <c r="A47" s="18"/>
      <c r="B47" s="59" t="s">
        <v>166</v>
      </c>
      <c r="C47" s="28" t="s">
        <v>148</v>
      </c>
      <c r="D47" s="43">
        <v>7000</v>
      </c>
      <c r="E47" s="19"/>
      <c r="F47" s="19"/>
      <c r="G47" s="19">
        <v>7000</v>
      </c>
      <c r="H47" s="37">
        <f t="shared" si="20"/>
        <v>7000</v>
      </c>
      <c r="I47" s="20"/>
      <c r="J47" s="20"/>
      <c r="K47" s="20"/>
      <c r="L47" s="37">
        <f aca="true" t="shared" si="24" ref="L47:T47">SUM(I47:K47)</f>
        <v>0</v>
      </c>
      <c r="M47" s="20">
        <f t="shared" si="24"/>
        <v>0</v>
      </c>
      <c r="N47" s="20">
        <f t="shared" si="24"/>
        <v>0</v>
      </c>
      <c r="O47" s="20">
        <f t="shared" si="24"/>
        <v>0</v>
      </c>
      <c r="P47" s="37">
        <f t="shared" si="24"/>
        <v>0</v>
      </c>
      <c r="Q47" s="20">
        <f t="shared" si="24"/>
        <v>0</v>
      </c>
      <c r="R47" s="20">
        <f t="shared" si="24"/>
        <v>0</v>
      </c>
      <c r="S47" s="20">
        <f t="shared" si="24"/>
        <v>0</v>
      </c>
      <c r="T47" s="37">
        <f t="shared" si="24"/>
        <v>0</v>
      </c>
      <c r="U47" s="37">
        <f t="shared" si="12"/>
        <v>7000</v>
      </c>
      <c r="X47" s="123">
        <f t="shared" si="19"/>
        <v>0</v>
      </c>
    </row>
    <row r="48" spans="1:24" s="84" customFormat="1" ht="18" customHeight="1">
      <c r="A48" s="86"/>
      <c r="B48" s="87" t="s">
        <v>94</v>
      </c>
      <c r="C48" s="88" t="s">
        <v>148</v>
      </c>
      <c r="D48" s="89">
        <v>345000</v>
      </c>
      <c r="E48" s="90"/>
      <c r="F48" s="90"/>
      <c r="G48" s="90"/>
      <c r="H48" s="89">
        <f t="shared" si="20"/>
        <v>0</v>
      </c>
      <c r="I48" s="90"/>
      <c r="J48" s="90">
        <f>60608.38+11238.64</f>
        <v>71847.01999999999</v>
      </c>
      <c r="K48" s="90"/>
      <c r="L48" s="89">
        <f t="shared" si="21"/>
        <v>71847.01999999999</v>
      </c>
      <c r="M48" s="90">
        <f>40736.78+7415.66+33062.96+5911.92</f>
        <v>87127.31999999999</v>
      </c>
      <c r="N48" s="90"/>
      <c r="O48" s="90"/>
      <c r="P48" s="89">
        <f t="shared" si="22"/>
        <v>87127.31999999999</v>
      </c>
      <c r="Q48" s="90"/>
      <c r="R48" s="90">
        <f>51324+7185.36</f>
        <v>58509.36</v>
      </c>
      <c r="S48" s="90">
        <f>41946.48+5911.92+41454+5803.56</f>
        <v>95115.95999999999</v>
      </c>
      <c r="T48" s="89">
        <f t="shared" si="23"/>
        <v>153625.32</v>
      </c>
      <c r="U48" s="89">
        <f t="shared" si="12"/>
        <v>312599.66</v>
      </c>
      <c r="W48" s="85"/>
      <c r="X48" s="123">
        <f t="shared" si="19"/>
        <v>32400.340000000026</v>
      </c>
    </row>
    <row r="49" spans="1:24" s="72" customFormat="1" ht="18" customHeight="1">
      <c r="A49" s="73" t="s">
        <v>1</v>
      </c>
      <c r="B49" s="74"/>
      <c r="C49" s="75"/>
      <c r="D49" s="124">
        <f aca="true" t="shared" si="25" ref="D49:T49">SUM(D50:D117)</f>
        <v>2721500</v>
      </c>
      <c r="E49" s="124">
        <f t="shared" si="25"/>
        <v>22700</v>
      </c>
      <c r="F49" s="124">
        <f t="shared" si="25"/>
        <v>50073.2</v>
      </c>
      <c r="G49" s="124">
        <f t="shared" si="25"/>
        <v>56468.67</v>
      </c>
      <c r="H49" s="124">
        <f t="shared" si="25"/>
        <v>129241.87</v>
      </c>
      <c r="I49" s="124">
        <f t="shared" si="25"/>
        <v>79724.09</v>
      </c>
      <c r="J49" s="124">
        <f t="shared" si="25"/>
        <v>140275.19</v>
      </c>
      <c r="K49" s="124">
        <f t="shared" si="25"/>
        <v>262950.29000000004</v>
      </c>
      <c r="L49" s="124">
        <f t="shared" si="25"/>
        <v>482949.57</v>
      </c>
      <c r="M49" s="124">
        <f t="shared" si="25"/>
        <v>73683.95</v>
      </c>
      <c r="N49" s="124">
        <f t="shared" si="25"/>
        <v>205400.19</v>
      </c>
      <c r="O49" s="124">
        <f t="shared" si="25"/>
        <v>80354.18</v>
      </c>
      <c r="P49" s="124">
        <f t="shared" si="25"/>
        <v>359438.32</v>
      </c>
      <c r="Q49" s="124">
        <f t="shared" si="25"/>
        <v>119214.26</v>
      </c>
      <c r="R49" s="124">
        <f t="shared" si="25"/>
        <v>236193.05</v>
      </c>
      <c r="S49" s="124">
        <f t="shared" si="25"/>
        <v>83186.43000000001</v>
      </c>
      <c r="T49" s="124">
        <f t="shared" si="25"/>
        <v>438593.74</v>
      </c>
      <c r="U49" s="124">
        <f t="shared" si="12"/>
        <v>1410223.5</v>
      </c>
      <c r="V49" s="70">
        <f>SUM(U50:U117)</f>
        <v>1410223.5</v>
      </c>
      <c r="W49" s="71">
        <f>SUM(D50:D117)</f>
        <v>2721500</v>
      </c>
      <c r="X49" s="70">
        <f>+W49-V49</f>
        <v>1311276.5</v>
      </c>
    </row>
    <row r="50" spans="1:24" ht="18" customHeight="1">
      <c r="A50" s="16"/>
      <c r="B50" s="61" t="s">
        <v>68</v>
      </c>
      <c r="C50" s="30" t="s">
        <v>76</v>
      </c>
      <c r="D50" s="45">
        <v>30000</v>
      </c>
      <c r="E50" s="17">
        <v>9000</v>
      </c>
      <c r="F50" s="17"/>
      <c r="G50" s="17"/>
      <c r="H50" s="38">
        <f t="shared" si="20"/>
        <v>9000</v>
      </c>
      <c r="I50" s="17"/>
      <c r="J50" s="17"/>
      <c r="K50" s="17"/>
      <c r="L50" s="38">
        <f t="shared" si="21"/>
        <v>0</v>
      </c>
      <c r="M50" s="17"/>
      <c r="N50" s="17"/>
      <c r="O50" s="17"/>
      <c r="P50" s="38">
        <f t="shared" si="22"/>
        <v>0</v>
      </c>
      <c r="Q50" s="17"/>
      <c r="R50" s="17"/>
      <c r="S50" s="17"/>
      <c r="T50" s="38">
        <f t="shared" si="23"/>
        <v>0</v>
      </c>
      <c r="U50" s="38">
        <f t="shared" si="12"/>
        <v>9000</v>
      </c>
      <c r="V50" s="58"/>
      <c r="X50" s="123">
        <f>+D50-U50</f>
        <v>21000</v>
      </c>
    </row>
    <row r="51" spans="1:24" ht="18" customHeight="1">
      <c r="A51" s="16"/>
      <c r="B51" s="61" t="s">
        <v>214</v>
      </c>
      <c r="C51" s="30"/>
      <c r="D51" s="45">
        <v>50000</v>
      </c>
      <c r="E51" s="17"/>
      <c r="F51" s="17"/>
      <c r="G51" s="17"/>
      <c r="H51" s="38">
        <f t="shared" si="20"/>
        <v>0</v>
      </c>
      <c r="I51" s="17"/>
      <c r="J51" s="17"/>
      <c r="K51" s="17"/>
      <c r="L51" s="38">
        <f t="shared" si="21"/>
        <v>0</v>
      </c>
      <c r="M51" s="17"/>
      <c r="N51" s="17"/>
      <c r="O51" s="17"/>
      <c r="P51" s="38">
        <f t="shared" si="22"/>
        <v>0</v>
      </c>
      <c r="Q51" s="17"/>
      <c r="R51" s="17">
        <f>6000+800+1350+7000</f>
        <v>15150</v>
      </c>
      <c r="S51" s="17"/>
      <c r="T51" s="38">
        <f t="shared" si="23"/>
        <v>15150</v>
      </c>
      <c r="U51" s="38">
        <f t="shared" si="12"/>
        <v>15150</v>
      </c>
      <c r="V51" s="58"/>
      <c r="X51" s="123">
        <f>+D51-U51</f>
        <v>34850</v>
      </c>
    </row>
    <row r="52" spans="1:24" ht="18" customHeight="1">
      <c r="A52" s="16"/>
      <c r="B52" s="61" t="s">
        <v>209</v>
      </c>
      <c r="C52" s="30"/>
      <c r="D52" s="45">
        <v>50000</v>
      </c>
      <c r="E52" s="17"/>
      <c r="F52" s="17"/>
      <c r="G52" s="17"/>
      <c r="H52" s="38">
        <f t="shared" si="20"/>
        <v>0</v>
      </c>
      <c r="I52" s="17"/>
      <c r="J52" s="17"/>
      <c r="K52" s="17"/>
      <c r="L52" s="38">
        <f t="shared" si="21"/>
        <v>0</v>
      </c>
      <c r="M52" s="17"/>
      <c r="N52" s="17"/>
      <c r="O52" s="17"/>
      <c r="P52" s="38">
        <f t="shared" si="22"/>
        <v>0</v>
      </c>
      <c r="Q52" s="17">
        <v>2700</v>
      </c>
      <c r="R52" s="17">
        <f>31500+7000+6000</f>
        <v>44500</v>
      </c>
      <c r="S52" s="17"/>
      <c r="T52" s="38">
        <f>SUM(Q52:S52)</f>
        <v>47200</v>
      </c>
      <c r="U52" s="38">
        <f t="shared" si="12"/>
        <v>47200</v>
      </c>
      <c r="V52" s="58"/>
      <c r="X52" s="123"/>
    </row>
    <row r="53" spans="1:24" ht="18" customHeight="1">
      <c r="A53" s="18"/>
      <c r="B53" s="59" t="s">
        <v>70</v>
      </c>
      <c r="C53" s="28" t="s">
        <v>76</v>
      </c>
      <c r="D53" s="43">
        <v>20000</v>
      </c>
      <c r="E53" s="19">
        <f>342+306</f>
        <v>648</v>
      </c>
      <c r="F53" s="19"/>
      <c r="G53" s="19"/>
      <c r="H53" s="37">
        <f t="shared" si="20"/>
        <v>648</v>
      </c>
      <c r="I53" s="19">
        <f>144+272</f>
        <v>416</v>
      </c>
      <c r="J53" s="19"/>
      <c r="K53" s="19">
        <f>500+13725</f>
        <v>14225</v>
      </c>
      <c r="L53" s="37">
        <f t="shared" si="21"/>
        <v>14641</v>
      </c>
      <c r="M53" s="19"/>
      <c r="N53" s="19"/>
      <c r="O53" s="19"/>
      <c r="P53" s="37">
        <f t="shared" si="22"/>
        <v>0</v>
      </c>
      <c r="Q53" s="19">
        <v>800</v>
      </c>
      <c r="R53" s="19"/>
      <c r="S53" s="19"/>
      <c r="T53" s="37">
        <f t="shared" si="23"/>
        <v>800</v>
      </c>
      <c r="U53" s="37">
        <f t="shared" si="12"/>
        <v>16089</v>
      </c>
      <c r="X53" s="123">
        <f>+D53-U53</f>
        <v>3911</v>
      </c>
    </row>
    <row r="54" spans="1:24" ht="18" customHeight="1">
      <c r="A54" s="18"/>
      <c r="B54" s="59" t="s">
        <v>71</v>
      </c>
      <c r="C54" s="28" t="s">
        <v>76</v>
      </c>
      <c r="D54" s="43">
        <v>20000</v>
      </c>
      <c r="E54" s="19">
        <v>900</v>
      </c>
      <c r="F54" s="19"/>
      <c r="G54" s="19"/>
      <c r="H54" s="37">
        <f t="shared" si="20"/>
        <v>900</v>
      </c>
      <c r="I54" s="19">
        <v>800</v>
      </c>
      <c r="J54" s="19"/>
      <c r="K54" s="19">
        <v>800</v>
      </c>
      <c r="L54" s="37">
        <f t="shared" si="21"/>
        <v>1600</v>
      </c>
      <c r="M54" s="19"/>
      <c r="N54" s="19">
        <v>800</v>
      </c>
      <c r="O54" s="19"/>
      <c r="P54" s="37">
        <f t="shared" si="22"/>
        <v>800</v>
      </c>
      <c r="Q54" s="19"/>
      <c r="R54" s="19">
        <f>800+800</f>
        <v>1600</v>
      </c>
      <c r="S54" s="19">
        <v>800</v>
      </c>
      <c r="T54" s="37">
        <f t="shared" si="23"/>
        <v>2400</v>
      </c>
      <c r="U54" s="37">
        <f t="shared" si="12"/>
        <v>5700</v>
      </c>
      <c r="V54" s="58"/>
      <c r="X54" s="123">
        <f>+D54-U54</f>
        <v>14300</v>
      </c>
    </row>
    <row r="55" spans="1:24" ht="18" customHeight="1">
      <c r="A55" s="18"/>
      <c r="B55" s="59" t="s">
        <v>226</v>
      </c>
      <c r="C55" s="28"/>
      <c r="D55" s="43">
        <v>10000</v>
      </c>
      <c r="E55" s="19"/>
      <c r="F55" s="19"/>
      <c r="G55" s="19"/>
      <c r="H55" s="37"/>
      <c r="I55" s="19"/>
      <c r="J55" s="19"/>
      <c r="K55" s="19"/>
      <c r="L55" s="37"/>
      <c r="M55" s="19"/>
      <c r="N55" s="19"/>
      <c r="O55" s="19"/>
      <c r="P55" s="37"/>
      <c r="Q55" s="19"/>
      <c r="R55" s="19"/>
      <c r="S55" s="19"/>
      <c r="T55" s="37"/>
      <c r="U55" s="37">
        <f t="shared" si="12"/>
        <v>0</v>
      </c>
      <c r="V55" s="58"/>
      <c r="X55" s="123"/>
    </row>
    <row r="56" spans="1:24" ht="18" customHeight="1">
      <c r="A56" s="18"/>
      <c r="B56" s="59" t="s">
        <v>228</v>
      </c>
      <c r="C56" s="28"/>
      <c r="D56" s="43">
        <v>20000</v>
      </c>
      <c r="E56" s="19"/>
      <c r="F56" s="19"/>
      <c r="G56" s="19"/>
      <c r="H56" s="37"/>
      <c r="I56" s="19"/>
      <c r="J56" s="19"/>
      <c r="K56" s="19"/>
      <c r="L56" s="37"/>
      <c r="M56" s="19"/>
      <c r="N56" s="19"/>
      <c r="O56" s="19"/>
      <c r="P56" s="37"/>
      <c r="Q56" s="19"/>
      <c r="R56" s="19"/>
      <c r="S56" s="19"/>
      <c r="T56" s="37"/>
      <c r="U56" s="37"/>
      <c r="V56" s="58"/>
      <c r="X56" s="123"/>
    </row>
    <row r="57" spans="1:24" s="84" customFormat="1" ht="18" customHeight="1">
      <c r="A57" s="86"/>
      <c r="B57" s="87" t="s">
        <v>17</v>
      </c>
      <c r="C57" s="88" t="s">
        <v>77</v>
      </c>
      <c r="D57" s="89">
        <v>147000</v>
      </c>
      <c r="E57" s="90">
        <v>10640</v>
      </c>
      <c r="F57" s="90">
        <v>12320</v>
      </c>
      <c r="G57" s="90">
        <v>10640</v>
      </c>
      <c r="H57" s="89">
        <f t="shared" si="20"/>
        <v>33600</v>
      </c>
      <c r="I57" s="90">
        <v>11200</v>
      </c>
      <c r="J57" s="90">
        <v>11200</v>
      </c>
      <c r="K57" s="90">
        <v>9180</v>
      </c>
      <c r="L57" s="89">
        <f t="shared" si="21"/>
        <v>31580</v>
      </c>
      <c r="M57" s="90">
        <v>9720</v>
      </c>
      <c r="N57" s="90">
        <v>11340</v>
      </c>
      <c r="O57" s="90">
        <v>4920</v>
      </c>
      <c r="P57" s="89">
        <f t="shared" si="22"/>
        <v>25980</v>
      </c>
      <c r="Q57" s="90">
        <v>8400</v>
      </c>
      <c r="R57" s="90">
        <v>9240</v>
      </c>
      <c r="S57" s="90">
        <v>8400</v>
      </c>
      <c r="T57" s="89">
        <f t="shared" si="23"/>
        <v>26040</v>
      </c>
      <c r="U57" s="89">
        <f aca="true" t="shared" si="26" ref="U57:U88">+H57+L57+P57+T57</f>
        <v>117200</v>
      </c>
      <c r="W57" s="85"/>
      <c r="X57" s="123">
        <f>+D57-U57</f>
        <v>29800</v>
      </c>
    </row>
    <row r="58" spans="1:24" s="84" customFormat="1" ht="18" customHeight="1">
      <c r="A58" s="86"/>
      <c r="B58" s="87" t="s">
        <v>124</v>
      </c>
      <c r="C58" s="88" t="s">
        <v>78</v>
      </c>
      <c r="D58" s="89">
        <v>51000</v>
      </c>
      <c r="E58" s="90">
        <v>0</v>
      </c>
      <c r="F58" s="90"/>
      <c r="G58" s="90"/>
      <c r="H58" s="89">
        <f>SUM(E58:G58)</f>
        <v>0</v>
      </c>
      <c r="I58" s="90"/>
      <c r="J58" s="90">
        <v>47600</v>
      </c>
      <c r="K58" s="90"/>
      <c r="L58" s="89">
        <f>SUM(I58:K58)</f>
        <v>47600</v>
      </c>
      <c r="M58" s="90"/>
      <c r="N58" s="90"/>
      <c r="O58" s="90"/>
      <c r="P58" s="89">
        <f>SUM(M58:O58)</f>
        <v>0</v>
      </c>
      <c r="Q58" s="90"/>
      <c r="R58" s="90"/>
      <c r="S58" s="90"/>
      <c r="T58" s="89">
        <f>SUM(Q58:S58)</f>
        <v>0</v>
      </c>
      <c r="U58" s="89">
        <f t="shared" si="26"/>
        <v>47600</v>
      </c>
      <c r="W58" s="85"/>
      <c r="X58" s="123">
        <f>+D58-U58</f>
        <v>3400</v>
      </c>
    </row>
    <row r="59" spans="1:24" ht="18" customHeight="1">
      <c r="A59" s="18"/>
      <c r="B59" s="59" t="s">
        <v>86</v>
      </c>
      <c r="C59" s="28" t="s">
        <v>78</v>
      </c>
      <c r="D59" s="43">
        <v>400000</v>
      </c>
      <c r="E59" s="19">
        <v>0</v>
      </c>
      <c r="F59" s="19"/>
      <c r="G59" s="19"/>
      <c r="H59" s="37">
        <f t="shared" si="20"/>
        <v>0</v>
      </c>
      <c r="I59" s="19"/>
      <c r="J59" s="19"/>
      <c r="K59" s="19"/>
      <c r="L59" s="37">
        <f t="shared" si="21"/>
        <v>0</v>
      </c>
      <c r="M59" s="19"/>
      <c r="N59" s="19"/>
      <c r="O59" s="19"/>
      <c r="P59" s="37">
        <f t="shared" si="22"/>
        <v>0</v>
      </c>
      <c r="Q59" s="19"/>
      <c r="R59" s="19"/>
      <c r="S59" s="19"/>
      <c r="T59" s="37">
        <f t="shared" si="23"/>
        <v>0</v>
      </c>
      <c r="U59" s="37">
        <f t="shared" si="26"/>
        <v>0</v>
      </c>
      <c r="X59" s="123">
        <f>+D59-U59</f>
        <v>400000</v>
      </c>
    </row>
    <row r="60" spans="1:24" ht="18" customHeight="1">
      <c r="A60" s="18"/>
      <c r="B60" s="62" t="s">
        <v>83</v>
      </c>
      <c r="C60" s="28"/>
      <c r="D60" s="43"/>
      <c r="E60" s="19">
        <v>0</v>
      </c>
      <c r="F60" s="19">
        <v>6650</v>
      </c>
      <c r="G60" s="19">
        <v>7700</v>
      </c>
      <c r="H60" s="37">
        <f t="shared" si="20"/>
        <v>14350</v>
      </c>
      <c r="I60" s="19">
        <f>6650+6650</f>
        <v>13300</v>
      </c>
      <c r="J60" s="19">
        <f>7350+7350</f>
        <v>14700</v>
      </c>
      <c r="K60" s="19">
        <f>7000+7000</f>
        <v>14000</v>
      </c>
      <c r="L60" s="37">
        <f t="shared" si="21"/>
        <v>42000</v>
      </c>
      <c r="M60" s="19">
        <f>7350+7350</f>
        <v>14700</v>
      </c>
      <c r="N60" s="19"/>
      <c r="O60" s="19"/>
      <c r="P60" s="37">
        <f t="shared" si="22"/>
        <v>14700</v>
      </c>
      <c r="Q60" s="19"/>
      <c r="R60" s="19"/>
      <c r="S60" s="19"/>
      <c r="T60" s="37">
        <f t="shared" si="23"/>
        <v>0</v>
      </c>
      <c r="U60" s="37">
        <f t="shared" si="26"/>
        <v>71050</v>
      </c>
      <c r="X60" s="123"/>
    </row>
    <row r="61" spans="1:24" ht="18" customHeight="1">
      <c r="A61" s="18"/>
      <c r="B61" s="62" t="s">
        <v>207</v>
      </c>
      <c r="C61" s="28"/>
      <c r="D61" s="43"/>
      <c r="E61" s="19">
        <v>0</v>
      </c>
      <c r="F61" s="19">
        <v>3000</v>
      </c>
      <c r="G61" s="19">
        <v>1300</v>
      </c>
      <c r="H61" s="37">
        <f t="shared" si="20"/>
        <v>4300</v>
      </c>
      <c r="I61" s="19"/>
      <c r="J61" s="19">
        <v>450</v>
      </c>
      <c r="K61" s="19">
        <v>4500</v>
      </c>
      <c r="L61" s="37">
        <f t="shared" si="21"/>
        <v>4950</v>
      </c>
      <c r="M61" s="19">
        <v>500</v>
      </c>
      <c r="N61" s="19">
        <f>80+11000</f>
        <v>11080</v>
      </c>
      <c r="O61" s="19">
        <v>750</v>
      </c>
      <c r="P61" s="37">
        <f t="shared" si="22"/>
        <v>12330</v>
      </c>
      <c r="Q61" s="19">
        <f>3000+2500</f>
        <v>5500</v>
      </c>
      <c r="R61" s="19">
        <f>65250+5000</f>
        <v>70250</v>
      </c>
      <c r="S61" s="19">
        <f>5720+23000</f>
        <v>28720</v>
      </c>
      <c r="T61" s="37">
        <f t="shared" si="23"/>
        <v>104470</v>
      </c>
      <c r="U61" s="37">
        <f t="shared" si="26"/>
        <v>126050</v>
      </c>
      <c r="X61" s="123"/>
    </row>
    <row r="62" spans="1:24" ht="18" customHeight="1">
      <c r="A62" s="18"/>
      <c r="B62" s="62" t="s">
        <v>88</v>
      </c>
      <c r="C62" s="28"/>
      <c r="D62" s="43"/>
      <c r="E62" s="19">
        <v>0</v>
      </c>
      <c r="F62" s="19">
        <v>12103.2</v>
      </c>
      <c r="G62" s="19">
        <v>10405.11</v>
      </c>
      <c r="H62" s="37">
        <f t="shared" si="20"/>
        <v>22508.31</v>
      </c>
      <c r="I62" s="19">
        <v>12268.09</v>
      </c>
      <c r="J62" s="19">
        <v>11657.76</v>
      </c>
      <c r="K62" s="19">
        <v>9415.79</v>
      </c>
      <c r="L62" s="37">
        <f t="shared" si="21"/>
        <v>33341.64</v>
      </c>
      <c r="M62" s="19">
        <v>13126.97</v>
      </c>
      <c r="N62" s="19">
        <v>11667.6</v>
      </c>
      <c r="O62" s="19">
        <v>13240.18</v>
      </c>
      <c r="P62" s="37">
        <f t="shared" si="22"/>
        <v>38034.75</v>
      </c>
      <c r="Q62" s="19">
        <v>12548.64</v>
      </c>
      <c r="R62" s="19">
        <v>12081.05</v>
      </c>
      <c r="S62" s="19">
        <f>13412.45+8987.57</f>
        <v>22400.02</v>
      </c>
      <c r="T62" s="37">
        <f t="shared" si="23"/>
        <v>47029.71</v>
      </c>
      <c r="U62" s="37">
        <f t="shared" si="26"/>
        <v>140914.41</v>
      </c>
      <c r="X62" s="123"/>
    </row>
    <row r="63" spans="1:24" ht="18" customHeight="1">
      <c r="A63" s="18"/>
      <c r="B63" s="59" t="s">
        <v>85</v>
      </c>
      <c r="C63" s="28" t="s">
        <v>78</v>
      </c>
      <c r="D63" s="43">
        <v>30000</v>
      </c>
      <c r="E63" s="19">
        <v>0</v>
      </c>
      <c r="F63" s="19"/>
      <c r="G63" s="19"/>
      <c r="H63" s="37">
        <f t="shared" si="20"/>
        <v>0</v>
      </c>
      <c r="I63" s="19"/>
      <c r="J63" s="19"/>
      <c r="K63" s="19"/>
      <c r="L63" s="37">
        <f t="shared" si="21"/>
        <v>0</v>
      </c>
      <c r="M63" s="19"/>
      <c r="N63" s="19"/>
      <c r="O63" s="19"/>
      <c r="P63" s="37">
        <f t="shared" si="22"/>
        <v>0</v>
      </c>
      <c r="Q63" s="19"/>
      <c r="R63" s="19"/>
      <c r="S63" s="19"/>
      <c r="T63" s="37">
        <f t="shared" si="23"/>
        <v>0</v>
      </c>
      <c r="U63" s="37">
        <f t="shared" si="26"/>
        <v>0</v>
      </c>
      <c r="X63" s="123">
        <f>+D63-U63</f>
        <v>30000</v>
      </c>
    </row>
    <row r="64" spans="1:24" ht="18" customHeight="1">
      <c r="A64" s="18"/>
      <c r="B64" s="62" t="s">
        <v>84</v>
      </c>
      <c r="C64" s="28"/>
      <c r="D64" s="43"/>
      <c r="E64" s="19">
        <v>0</v>
      </c>
      <c r="F64" s="19">
        <v>8000</v>
      </c>
      <c r="G64" s="19">
        <v>8000</v>
      </c>
      <c r="H64" s="37">
        <f t="shared" si="20"/>
        <v>16000</v>
      </c>
      <c r="I64" s="19"/>
      <c r="J64" s="19"/>
      <c r="K64" s="19"/>
      <c r="L64" s="37">
        <f t="shared" si="21"/>
        <v>0</v>
      </c>
      <c r="M64" s="19"/>
      <c r="N64" s="19"/>
      <c r="O64" s="19"/>
      <c r="P64" s="37">
        <f t="shared" si="22"/>
        <v>0</v>
      </c>
      <c r="Q64" s="19"/>
      <c r="R64" s="19"/>
      <c r="S64" s="19"/>
      <c r="T64" s="37">
        <f t="shared" si="23"/>
        <v>0</v>
      </c>
      <c r="U64" s="37">
        <f t="shared" si="26"/>
        <v>16000</v>
      </c>
      <c r="X64" s="123"/>
    </row>
    <row r="65" spans="1:24" ht="18" customHeight="1">
      <c r="A65" s="18"/>
      <c r="B65" s="62" t="s">
        <v>218</v>
      </c>
      <c r="C65" s="28"/>
      <c r="D65" s="43"/>
      <c r="E65" s="19">
        <v>0</v>
      </c>
      <c r="F65" s="19"/>
      <c r="G65" s="19"/>
      <c r="H65" s="37">
        <f>SUM(E65:G65)</f>
        <v>0</v>
      </c>
      <c r="I65" s="19"/>
      <c r="J65" s="19"/>
      <c r="K65" s="19"/>
      <c r="L65" s="37">
        <f>SUM(I65:K65)</f>
        <v>0</v>
      </c>
      <c r="M65" s="19"/>
      <c r="N65" s="19"/>
      <c r="O65" s="19"/>
      <c r="P65" s="37">
        <f>SUM(M65:O65)</f>
        <v>0</v>
      </c>
      <c r="Q65" s="19"/>
      <c r="R65" s="19">
        <v>900</v>
      </c>
      <c r="S65" s="19"/>
      <c r="T65" s="37">
        <f>SUM(Q65:S65)</f>
        <v>900</v>
      </c>
      <c r="U65" s="37">
        <f t="shared" si="26"/>
        <v>900</v>
      </c>
      <c r="X65" s="123"/>
    </row>
    <row r="66" spans="1:24" ht="18" customHeight="1">
      <c r="A66" s="18"/>
      <c r="B66" s="62" t="s">
        <v>167</v>
      </c>
      <c r="C66" s="28" t="s">
        <v>78</v>
      </c>
      <c r="D66" s="43">
        <f>50000-10000-20000</f>
        <v>20000</v>
      </c>
      <c r="E66" s="19"/>
      <c r="F66" s="19"/>
      <c r="G66" s="19"/>
      <c r="H66" s="37">
        <f t="shared" si="20"/>
        <v>0</v>
      </c>
      <c r="I66" s="19">
        <v>12500</v>
      </c>
      <c r="J66" s="19">
        <v>1040</v>
      </c>
      <c r="K66" s="19"/>
      <c r="L66" s="37">
        <f t="shared" si="21"/>
        <v>13540</v>
      </c>
      <c r="M66" s="19"/>
      <c r="N66" s="19"/>
      <c r="O66" s="19"/>
      <c r="P66" s="37">
        <f t="shared" si="22"/>
        <v>0</v>
      </c>
      <c r="Q66" s="19"/>
      <c r="R66" s="19">
        <v>5000</v>
      </c>
      <c r="S66" s="19"/>
      <c r="T66" s="37">
        <f t="shared" si="23"/>
        <v>5000</v>
      </c>
      <c r="U66" s="37">
        <f t="shared" si="26"/>
        <v>18540</v>
      </c>
      <c r="X66" s="123">
        <f>+D66-U66</f>
        <v>1460</v>
      </c>
    </row>
    <row r="67" spans="1:24" ht="18" customHeight="1">
      <c r="A67" s="18"/>
      <c r="B67" s="62" t="s">
        <v>215</v>
      </c>
      <c r="C67" s="28"/>
      <c r="D67" s="43">
        <v>5000</v>
      </c>
      <c r="E67" s="19"/>
      <c r="F67" s="19"/>
      <c r="G67" s="19"/>
      <c r="H67" s="37">
        <f t="shared" si="20"/>
        <v>0</v>
      </c>
      <c r="I67" s="19"/>
      <c r="J67" s="19"/>
      <c r="K67" s="19"/>
      <c r="L67" s="37">
        <f t="shared" si="21"/>
        <v>0</v>
      </c>
      <c r="M67" s="19"/>
      <c r="N67" s="19"/>
      <c r="O67" s="19"/>
      <c r="P67" s="37">
        <f t="shared" si="22"/>
        <v>0</v>
      </c>
      <c r="Q67" s="19"/>
      <c r="R67" s="19">
        <v>900</v>
      </c>
      <c r="S67" s="19"/>
      <c r="T67" s="37">
        <f t="shared" si="23"/>
        <v>900</v>
      </c>
      <c r="U67" s="37">
        <f t="shared" si="26"/>
        <v>900</v>
      </c>
      <c r="X67" s="123"/>
    </row>
    <row r="68" spans="1:24" ht="18" customHeight="1">
      <c r="A68" s="18"/>
      <c r="B68" s="62" t="s">
        <v>217</v>
      </c>
      <c r="C68" s="28"/>
      <c r="D68" s="43">
        <v>20000</v>
      </c>
      <c r="E68" s="19"/>
      <c r="F68" s="19"/>
      <c r="G68" s="19"/>
      <c r="H68" s="37">
        <f>SUM(E68:G68)</f>
        <v>0</v>
      </c>
      <c r="I68" s="19"/>
      <c r="J68" s="19"/>
      <c r="K68" s="19"/>
      <c r="L68" s="37">
        <f>SUM(I68:K68)</f>
        <v>0</v>
      </c>
      <c r="M68" s="19"/>
      <c r="N68" s="19"/>
      <c r="O68" s="19"/>
      <c r="P68" s="37">
        <f>SUM(M68:O68)</f>
        <v>0</v>
      </c>
      <c r="Q68" s="19"/>
      <c r="R68" s="19">
        <f>730+900</f>
        <v>1630</v>
      </c>
      <c r="S68" s="19"/>
      <c r="T68" s="37">
        <f>SUM(Q68:S68)</f>
        <v>1630</v>
      </c>
      <c r="U68" s="37">
        <f t="shared" si="26"/>
        <v>1630</v>
      </c>
      <c r="X68" s="123"/>
    </row>
    <row r="69" spans="1:24" ht="18" customHeight="1">
      <c r="A69" s="18"/>
      <c r="B69" s="62" t="s">
        <v>222</v>
      </c>
      <c r="C69" s="28"/>
      <c r="D69" s="43">
        <f>3810+3810</f>
        <v>7620</v>
      </c>
      <c r="E69" s="19"/>
      <c r="F69" s="19"/>
      <c r="G69" s="19"/>
      <c r="H69" s="37">
        <f>SUM(E69:G69)</f>
        <v>0</v>
      </c>
      <c r="I69" s="19"/>
      <c r="J69" s="19"/>
      <c r="K69" s="19"/>
      <c r="L69" s="37">
        <f>SUM(I69:K69)</f>
        <v>0</v>
      </c>
      <c r="M69" s="19"/>
      <c r="N69" s="19"/>
      <c r="O69" s="19"/>
      <c r="P69" s="37">
        <f>SUM(M69:O69)</f>
        <v>0</v>
      </c>
      <c r="Q69" s="19"/>
      <c r="R69" s="19"/>
      <c r="S69" s="19"/>
      <c r="T69" s="37">
        <f>SUM(Q69:S69)</f>
        <v>0</v>
      </c>
      <c r="U69" s="37">
        <f t="shared" si="26"/>
        <v>0</v>
      </c>
      <c r="X69" s="123"/>
    </row>
    <row r="70" spans="1:24" ht="18" customHeight="1">
      <c r="A70" s="18"/>
      <c r="B70" s="62" t="s">
        <v>227</v>
      </c>
      <c r="C70" s="28"/>
      <c r="D70" s="43">
        <v>20000</v>
      </c>
      <c r="E70" s="19"/>
      <c r="F70" s="19"/>
      <c r="G70" s="19"/>
      <c r="H70" s="37">
        <f>SUM(E70:G70)</f>
        <v>0</v>
      </c>
      <c r="I70" s="19"/>
      <c r="J70" s="19"/>
      <c r="K70" s="19"/>
      <c r="L70" s="37">
        <f>SUM(I70:K70)</f>
        <v>0</v>
      </c>
      <c r="M70" s="19"/>
      <c r="N70" s="19"/>
      <c r="O70" s="19"/>
      <c r="P70" s="37">
        <f>SUM(M70:O70)</f>
        <v>0</v>
      </c>
      <c r="Q70" s="19"/>
      <c r="R70" s="19"/>
      <c r="S70" s="19"/>
      <c r="T70" s="37">
        <f>SUM(Q70:S70)</f>
        <v>0</v>
      </c>
      <c r="U70" s="37">
        <f t="shared" si="26"/>
        <v>0</v>
      </c>
      <c r="X70" s="123"/>
    </row>
    <row r="71" spans="1:24" ht="18" customHeight="1">
      <c r="A71" s="18"/>
      <c r="B71" s="59" t="s">
        <v>72</v>
      </c>
      <c r="C71" s="28" t="s">
        <v>77</v>
      </c>
      <c r="D71" s="43">
        <v>20000</v>
      </c>
      <c r="E71" s="19">
        <f>1012+500</f>
        <v>1512</v>
      </c>
      <c r="F71" s="19"/>
      <c r="G71" s="19">
        <v>514</v>
      </c>
      <c r="H71" s="37">
        <f>SUM(E71:G71)</f>
        <v>2026</v>
      </c>
      <c r="I71" s="19">
        <v>1020</v>
      </c>
      <c r="J71" s="19">
        <v>802</v>
      </c>
      <c r="K71" s="19">
        <f>544+580+550+580</f>
        <v>2254</v>
      </c>
      <c r="L71" s="37">
        <f>SUM(I71:K71)</f>
        <v>4076</v>
      </c>
      <c r="M71" s="19"/>
      <c r="N71" s="19">
        <f>572+580+580+574</f>
        <v>2306</v>
      </c>
      <c r="O71" s="19"/>
      <c r="P71" s="37">
        <f>SUM(M71:O71)</f>
        <v>2306</v>
      </c>
      <c r="Q71" s="19">
        <f>588+580</f>
        <v>1168</v>
      </c>
      <c r="R71" s="19">
        <f>580+586</f>
        <v>1166</v>
      </c>
      <c r="S71" s="19"/>
      <c r="T71" s="37">
        <f>SUM(Q71:S71)</f>
        <v>2334</v>
      </c>
      <c r="U71" s="37">
        <f t="shared" si="26"/>
        <v>10742</v>
      </c>
      <c r="X71" s="123">
        <f aca="true" t="shared" si="27" ref="X71:X105">+D71-U71</f>
        <v>9258</v>
      </c>
    </row>
    <row r="72" spans="1:24" ht="18" customHeight="1">
      <c r="A72" s="18"/>
      <c r="B72" s="59" t="s">
        <v>87</v>
      </c>
      <c r="C72" s="28" t="s">
        <v>148</v>
      </c>
      <c r="D72" s="43">
        <v>5000</v>
      </c>
      <c r="E72" s="19">
        <v>0</v>
      </c>
      <c r="F72" s="19">
        <v>3000</v>
      </c>
      <c r="G72" s="19"/>
      <c r="H72" s="37">
        <f t="shared" si="20"/>
        <v>3000</v>
      </c>
      <c r="I72" s="19"/>
      <c r="J72" s="19"/>
      <c r="K72" s="19"/>
      <c r="L72" s="37">
        <f t="shared" si="21"/>
        <v>0</v>
      </c>
      <c r="M72" s="19"/>
      <c r="N72" s="19"/>
      <c r="O72" s="19"/>
      <c r="P72" s="37">
        <f t="shared" si="22"/>
        <v>0</v>
      </c>
      <c r="Q72" s="19"/>
      <c r="R72" s="19"/>
      <c r="S72" s="19"/>
      <c r="T72" s="37">
        <f t="shared" si="23"/>
        <v>0</v>
      </c>
      <c r="U72" s="37">
        <f t="shared" si="26"/>
        <v>3000</v>
      </c>
      <c r="X72" s="123">
        <f t="shared" si="27"/>
        <v>2000</v>
      </c>
    </row>
    <row r="73" spans="1:24" s="96" customFormat="1" ht="18" customHeight="1">
      <c r="A73" s="91"/>
      <c r="B73" s="92" t="s">
        <v>89</v>
      </c>
      <c r="C73" s="93" t="s">
        <v>144</v>
      </c>
      <c r="D73" s="94">
        <v>60000</v>
      </c>
      <c r="E73" s="95"/>
      <c r="F73" s="95">
        <v>5000</v>
      </c>
      <c r="G73" s="95">
        <v>5000</v>
      </c>
      <c r="H73" s="94">
        <f t="shared" si="20"/>
        <v>10000</v>
      </c>
      <c r="I73" s="95">
        <v>5000</v>
      </c>
      <c r="J73" s="95">
        <v>5000</v>
      </c>
      <c r="K73" s="95">
        <v>5000</v>
      </c>
      <c r="L73" s="94">
        <f t="shared" si="21"/>
        <v>15000</v>
      </c>
      <c r="M73" s="95">
        <v>5000</v>
      </c>
      <c r="N73" s="95">
        <v>5000</v>
      </c>
      <c r="O73" s="95">
        <v>5000</v>
      </c>
      <c r="P73" s="94">
        <f t="shared" si="22"/>
        <v>15000</v>
      </c>
      <c r="Q73" s="95">
        <v>5000</v>
      </c>
      <c r="R73" s="95">
        <v>5000</v>
      </c>
      <c r="S73" s="95">
        <f>5000+5000</f>
        <v>10000</v>
      </c>
      <c r="T73" s="94">
        <f t="shared" si="23"/>
        <v>20000</v>
      </c>
      <c r="U73" s="94">
        <f t="shared" si="26"/>
        <v>60000</v>
      </c>
      <c r="W73" s="97"/>
      <c r="X73" s="123">
        <f t="shared" si="27"/>
        <v>0</v>
      </c>
    </row>
    <row r="74" spans="1:24" ht="18" customHeight="1">
      <c r="A74" s="18"/>
      <c r="B74" s="59" t="s">
        <v>101</v>
      </c>
      <c r="C74" s="28" t="s">
        <v>144</v>
      </c>
      <c r="D74" s="43">
        <v>200000</v>
      </c>
      <c r="E74" s="19"/>
      <c r="F74" s="19"/>
      <c r="G74" s="19"/>
      <c r="H74" s="37">
        <f aca="true" t="shared" si="28" ref="H74:H83">SUM(E74:G74)</f>
        <v>0</v>
      </c>
      <c r="I74" s="19"/>
      <c r="J74" s="19"/>
      <c r="K74" s="19">
        <f>129000+700+4800+500+64000</f>
        <v>199000</v>
      </c>
      <c r="L74" s="37">
        <f aca="true" t="shared" si="29" ref="L74:L83">SUM(I74:K74)</f>
        <v>199000</v>
      </c>
      <c r="M74" s="19"/>
      <c r="N74" s="19"/>
      <c r="O74" s="19"/>
      <c r="P74" s="37">
        <f aca="true" t="shared" si="30" ref="P74:P83">SUM(M74:O74)</f>
        <v>0</v>
      </c>
      <c r="Q74" s="19"/>
      <c r="R74" s="19"/>
      <c r="S74" s="19"/>
      <c r="T74" s="37">
        <f aca="true" t="shared" si="31" ref="T74:T83">SUM(Q74:S74)</f>
        <v>0</v>
      </c>
      <c r="U74" s="37">
        <f t="shared" si="26"/>
        <v>199000</v>
      </c>
      <c r="X74" s="123">
        <f t="shared" si="27"/>
        <v>1000</v>
      </c>
    </row>
    <row r="75" spans="1:24" ht="18" customHeight="1">
      <c r="A75" s="18"/>
      <c r="B75" s="59" t="s">
        <v>102</v>
      </c>
      <c r="C75" s="28" t="s">
        <v>144</v>
      </c>
      <c r="D75" s="43">
        <f>20000-18100</f>
        <v>1900</v>
      </c>
      <c r="E75" s="19"/>
      <c r="F75" s="19"/>
      <c r="G75" s="19"/>
      <c r="H75" s="37">
        <f t="shared" si="28"/>
        <v>0</v>
      </c>
      <c r="I75" s="19">
        <f>500+1120</f>
        <v>1620</v>
      </c>
      <c r="J75" s="19"/>
      <c r="K75" s="19"/>
      <c r="L75" s="37">
        <f t="shared" si="29"/>
        <v>1620</v>
      </c>
      <c r="M75" s="19"/>
      <c r="N75" s="19"/>
      <c r="O75" s="19"/>
      <c r="P75" s="37">
        <f t="shared" si="30"/>
        <v>0</v>
      </c>
      <c r="Q75" s="19"/>
      <c r="R75" s="19"/>
      <c r="S75" s="19"/>
      <c r="T75" s="37">
        <f t="shared" si="31"/>
        <v>0</v>
      </c>
      <c r="U75" s="37">
        <f t="shared" si="26"/>
        <v>1620</v>
      </c>
      <c r="X75" s="123">
        <f t="shared" si="27"/>
        <v>280</v>
      </c>
    </row>
    <row r="76" spans="1:24" ht="18" customHeight="1">
      <c r="A76" s="18"/>
      <c r="B76" s="59" t="s">
        <v>103</v>
      </c>
      <c r="C76" s="28" t="s">
        <v>144</v>
      </c>
      <c r="D76" s="43">
        <f>20000-20000</f>
        <v>0</v>
      </c>
      <c r="E76" s="19"/>
      <c r="F76" s="19"/>
      <c r="G76" s="19"/>
      <c r="H76" s="37">
        <f t="shared" si="28"/>
        <v>0</v>
      </c>
      <c r="I76" s="19"/>
      <c r="J76" s="19"/>
      <c r="K76" s="19"/>
      <c r="L76" s="37">
        <f t="shared" si="29"/>
        <v>0</v>
      </c>
      <c r="M76" s="19"/>
      <c r="N76" s="19"/>
      <c r="O76" s="19"/>
      <c r="P76" s="37">
        <f t="shared" si="30"/>
        <v>0</v>
      </c>
      <c r="Q76" s="19"/>
      <c r="R76" s="19"/>
      <c r="S76" s="19"/>
      <c r="T76" s="37">
        <f t="shared" si="31"/>
        <v>0</v>
      </c>
      <c r="U76" s="37">
        <f t="shared" si="26"/>
        <v>0</v>
      </c>
      <c r="X76" s="123">
        <f t="shared" si="27"/>
        <v>0</v>
      </c>
    </row>
    <row r="77" spans="1:24" ht="18" customHeight="1">
      <c r="A77" s="18"/>
      <c r="B77" s="59" t="s">
        <v>109</v>
      </c>
      <c r="C77" s="28" t="s">
        <v>146</v>
      </c>
      <c r="D77" s="43">
        <f>100000-100000</f>
        <v>0</v>
      </c>
      <c r="E77" s="19"/>
      <c r="F77" s="19"/>
      <c r="G77" s="19"/>
      <c r="H77" s="37">
        <f t="shared" si="28"/>
        <v>0</v>
      </c>
      <c r="I77" s="19"/>
      <c r="J77" s="19"/>
      <c r="K77" s="19"/>
      <c r="L77" s="37">
        <f t="shared" si="29"/>
        <v>0</v>
      </c>
      <c r="M77" s="19"/>
      <c r="N77" s="19"/>
      <c r="O77" s="19"/>
      <c r="P77" s="37">
        <f t="shared" si="30"/>
        <v>0</v>
      </c>
      <c r="Q77" s="19"/>
      <c r="R77" s="19"/>
      <c r="S77" s="19"/>
      <c r="T77" s="37">
        <f t="shared" si="31"/>
        <v>0</v>
      </c>
      <c r="U77" s="37">
        <f t="shared" si="26"/>
        <v>0</v>
      </c>
      <c r="X77" s="123">
        <f t="shared" si="27"/>
        <v>0</v>
      </c>
    </row>
    <row r="78" spans="1:24" ht="18" customHeight="1">
      <c r="A78" s="18"/>
      <c r="B78" s="59" t="s">
        <v>116</v>
      </c>
      <c r="C78" s="28" t="s">
        <v>149</v>
      </c>
      <c r="D78" s="43">
        <v>10000</v>
      </c>
      <c r="E78" s="19"/>
      <c r="F78" s="19"/>
      <c r="G78" s="19"/>
      <c r="H78" s="37">
        <f>SUM(E78:G78)</f>
        <v>0</v>
      </c>
      <c r="I78" s="19">
        <f>5000+3000+500</f>
        <v>8500</v>
      </c>
      <c r="J78" s="19"/>
      <c r="K78" s="19"/>
      <c r="L78" s="37">
        <f>SUM(I78:K78)</f>
        <v>8500</v>
      </c>
      <c r="M78" s="19"/>
      <c r="N78" s="19"/>
      <c r="O78" s="19"/>
      <c r="P78" s="37">
        <f>SUM(M78:O78)</f>
        <v>0</v>
      </c>
      <c r="Q78" s="19"/>
      <c r="R78" s="19"/>
      <c r="S78" s="19"/>
      <c r="T78" s="37">
        <f>SUM(Q78:S78)</f>
        <v>0</v>
      </c>
      <c r="U78" s="37">
        <f t="shared" si="26"/>
        <v>8500</v>
      </c>
      <c r="X78" s="123">
        <f t="shared" si="27"/>
        <v>1500</v>
      </c>
    </row>
    <row r="79" spans="1:24" ht="18" customHeight="1">
      <c r="A79" s="18"/>
      <c r="B79" s="59" t="s">
        <v>117</v>
      </c>
      <c r="C79" s="28" t="s">
        <v>149</v>
      </c>
      <c r="D79" s="43">
        <v>10000</v>
      </c>
      <c r="E79" s="19"/>
      <c r="F79" s="19"/>
      <c r="G79" s="19"/>
      <c r="H79" s="37">
        <f>SUM(E79:G79)</f>
        <v>0</v>
      </c>
      <c r="I79" s="19"/>
      <c r="J79" s="19"/>
      <c r="K79" s="19"/>
      <c r="L79" s="37">
        <f>SUM(I79:K79)</f>
        <v>0</v>
      </c>
      <c r="M79" s="19">
        <f>500+4000+5000</f>
        <v>9500</v>
      </c>
      <c r="N79" s="19"/>
      <c r="O79" s="19"/>
      <c r="P79" s="37">
        <f>SUM(M79:O79)</f>
        <v>9500</v>
      </c>
      <c r="Q79" s="19"/>
      <c r="R79" s="19"/>
      <c r="S79" s="19"/>
      <c r="T79" s="37">
        <f>SUM(Q79:S79)</f>
        <v>0</v>
      </c>
      <c r="U79" s="37">
        <f t="shared" si="26"/>
        <v>9500</v>
      </c>
      <c r="X79" s="123">
        <f t="shared" si="27"/>
        <v>500</v>
      </c>
    </row>
    <row r="80" spans="1:24" ht="18" customHeight="1">
      <c r="A80" s="18"/>
      <c r="B80" s="59" t="s">
        <v>118</v>
      </c>
      <c r="C80" s="28" t="s">
        <v>149</v>
      </c>
      <c r="D80" s="43">
        <f>80000-80000</f>
        <v>0</v>
      </c>
      <c r="E80" s="19"/>
      <c r="F80" s="19"/>
      <c r="G80" s="19"/>
      <c r="H80" s="37">
        <f>SUM(E80:G80)</f>
        <v>0</v>
      </c>
      <c r="I80" s="19"/>
      <c r="J80" s="19"/>
      <c r="K80" s="19"/>
      <c r="L80" s="37">
        <f>SUM(I80:K80)</f>
        <v>0</v>
      </c>
      <c r="M80" s="19"/>
      <c r="N80" s="19"/>
      <c r="O80" s="19"/>
      <c r="P80" s="37">
        <f>SUM(M80:O80)</f>
        <v>0</v>
      </c>
      <c r="Q80" s="19"/>
      <c r="R80" s="19"/>
      <c r="S80" s="19"/>
      <c r="T80" s="37">
        <f>SUM(Q80:S80)</f>
        <v>0</v>
      </c>
      <c r="U80" s="37">
        <f t="shared" si="26"/>
        <v>0</v>
      </c>
      <c r="X80" s="123">
        <f t="shared" si="27"/>
        <v>0</v>
      </c>
    </row>
    <row r="81" spans="1:24" ht="18" customHeight="1">
      <c r="A81" s="18"/>
      <c r="B81" s="59" t="s">
        <v>152</v>
      </c>
      <c r="C81" s="28" t="s">
        <v>148</v>
      </c>
      <c r="D81" s="43">
        <f>10000-5000</f>
        <v>5000</v>
      </c>
      <c r="E81" s="19"/>
      <c r="F81" s="19"/>
      <c r="G81" s="19"/>
      <c r="H81" s="37">
        <f>SUM(E81:G81)</f>
        <v>0</v>
      </c>
      <c r="I81" s="19"/>
      <c r="J81" s="19"/>
      <c r="K81" s="19"/>
      <c r="L81" s="37">
        <f>SUM(I81:K81)</f>
        <v>0</v>
      </c>
      <c r="M81" s="19"/>
      <c r="N81" s="19"/>
      <c r="O81" s="19"/>
      <c r="P81" s="37">
        <f>SUM(M81:O81)</f>
        <v>0</v>
      </c>
      <c r="Q81" s="19">
        <f>2400+1962+500</f>
        <v>4862</v>
      </c>
      <c r="R81" s="19"/>
      <c r="S81" s="19"/>
      <c r="T81" s="37">
        <f>SUM(Q81:S81)</f>
        <v>4862</v>
      </c>
      <c r="U81" s="37">
        <f t="shared" si="26"/>
        <v>4862</v>
      </c>
      <c r="X81" s="123">
        <f t="shared" si="27"/>
        <v>138</v>
      </c>
    </row>
    <row r="82" spans="1:24" ht="18" customHeight="1">
      <c r="A82" s="18"/>
      <c r="B82" s="59" t="s">
        <v>153</v>
      </c>
      <c r="C82" s="28" t="s">
        <v>148</v>
      </c>
      <c r="D82" s="43">
        <f>20000-10000-5000</f>
        <v>5000</v>
      </c>
      <c r="E82" s="19"/>
      <c r="F82" s="19"/>
      <c r="G82" s="19"/>
      <c r="H82" s="37">
        <f t="shared" si="28"/>
        <v>0</v>
      </c>
      <c r="I82" s="19"/>
      <c r="J82" s="19"/>
      <c r="K82" s="19"/>
      <c r="L82" s="37">
        <f t="shared" si="29"/>
        <v>0</v>
      </c>
      <c r="M82" s="19"/>
      <c r="N82" s="19"/>
      <c r="O82" s="19"/>
      <c r="P82" s="37">
        <f t="shared" si="30"/>
        <v>0</v>
      </c>
      <c r="Q82" s="19"/>
      <c r="R82" s="19"/>
      <c r="S82" s="19"/>
      <c r="T82" s="37">
        <f t="shared" si="31"/>
        <v>0</v>
      </c>
      <c r="U82" s="37">
        <f t="shared" si="26"/>
        <v>0</v>
      </c>
      <c r="X82" s="123">
        <f t="shared" si="27"/>
        <v>5000</v>
      </c>
    </row>
    <row r="83" spans="1:24" ht="18" customHeight="1">
      <c r="A83" s="18"/>
      <c r="B83" s="59" t="s">
        <v>185</v>
      </c>
      <c r="C83" s="28" t="s">
        <v>148</v>
      </c>
      <c r="D83" s="43">
        <f>10000-5000-4500</f>
        <v>500</v>
      </c>
      <c r="E83" s="19"/>
      <c r="F83" s="19"/>
      <c r="G83" s="19"/>
      <c r="H83" s="37">
        <f t="shared" si="28"/>
        <v>0</v>
      </c>
      <c r="I83" s="19"/>
      <c r="J83" s="19">
        <v>500</v>
      </c>
      <c r="K83" s="19"/>
      <c r="L83" s="37">
        <f t="shared" si="29"/>
        <v>500</v>
      </c>
      <c r="M83" s="19"/>
      <c r="N83" s="19"/>
      <c r="O83" s="19"/>
      <c r="P83" s="37">
        <f t="shared" si="30"/>
        <v>0</v>
      </c>
      <c r="Q83" s="19"/>
      <c r="R83" s="19"/>
      <c r="S83" s="19"/>
      <c r="T83" s="37">
        <f t="shared" si="31"/>
        <v>0</v>
      </c>
      <c r="U83" s="37">
        <f t="shared" si="26"/>
        <v>500</v>
      </c>
      <c r="X83" s="123">
        <f t="shared" si="27"/>
        <v>0</v>
      </c>
    </row>
    <row r="84" spans="1:24" ht="18" customHeight="1">
      <c r="A84" s="18"/>
      <c r="B84" s="59" t="s">
        <v>154</v>
      </c>
      <c r="C84" s="28" t="s">
        <v>148</v>
      </c>
      <c r="D84" s="43">
        <f>15000-5000-5000</f>
        <v>5000</v>
      </c>
      <c r="E84" s="19"/>
      <c r="F84" s="19"/>
      <c r="G84" s="19"/>
      <c r="H84" s="37">
        <f aca="true" t="shared" si="32" ref="H84:H123">SUM(E84:G84)</f>
        <v>0</v>
      </c>
      <c r="I84" s="19"/>
      <c r="J84" s="19"/>
      <c r="K84" s="19"/>
      <c r="L84" s="37">
        <f aca="true" t="shared" si="33" ref="L84:L123">SUM(I84:K84)</f>
        <v>0</v>
      </c>
      <c r="M84" s="19"/>
      <c r="N84" s="19"/>
      <c r="O84" s="19"/>
      <c r="P84" s="37">
        <f aca="true" t="shared" si="34" ref="P84:P123">SUM(M84:O84)</f>
        <v>0</v>
      </c>
      <c r="Q84" s="19"/>
      <c r="R84" s="19"/>
      <c r="S84" s="19"/>
      <c r="T84" s="37">
        <f>SUM(Q84:S84)</f>
        <v>0</v>
      </c>
      <c r="U84" s="37">
        <f t="shared" si="26"/>
        <v>0</v>
      </c>
      <c r="X84" s="123">
        <f t="shared" si="27"/>
        <v>5000</v>
      </c>
    </row>
    <row r="85" spans="1:24" ht="18" customHeight="1">
      <c r="A85" s="18"/>
      <c r="B85" s="59" t="s">
        <v>155</v>
      </c>
      <c r="C85" s="28" t="s">
        <v>148</v>
      </c>
      <c r="D85" s="43">
        <f>20000-10000</f>
        <v>10000</v>
      </c>
      <c r="E85" s="19"/>
      <c r="F85" s="19"/>
      <c r="G85" s="19"/>
      <c r="H85" s="37">
        <f t="shared" si="32"/>
        <v>0</v>
      </c>
      <c r="I85" s="19"/>
      <c r="J85" s="19"/>
      <c r="K85" s="19"/>
      <c r="L85" s="37">
        <f t="shared" si="33"/>
        <v>0</v>
      </c>
      <c r="M85" s="19"/>
      <c r="N85" s="19"/>
      <c r="O85" s="19"/>
      <c r="P85" s="37">
        <f t="shared" si="34"/>
        <v>0</v>
      </c>
      <c r="Q85" s="19"/>
      <c r="R85" s="19">
        <f>2400+500+1854</f>
        <v>4754</v>
      </c>
      <c r="S85" s="19"/>
      <c r="T85" s="37">
        <f>SUM(Q85:S85)</f>
        <v>4754</v>
      </c>
      <c r="U85" s="37">
        <f t="shared" si="26"/>
        <v>4754</v>
      </c>
      <c r="X85" s="123">
        <f t="shared" si="27"/>
        <v>5246</v>
      </c>
    </row>
    <row r="86" spans="1:24" ht="18" customHeight="1">
      <c r="A86" s="18"/>
      <c r="B86" s="59" t="s">
        <v>156</v>
      </c>
      <c r="C86" s="28" t="s">
        <v>144</v>
      </c>
      <c r="D86" s="43">
        <v>30000</v>
      </c>
      <c r="E86" s="19"/>
      <c r="F86" s="19"/>
      <c r="G86" s="19"/>
      <c r="H86" s="37">
        <f t="shared" si="32"/>
        <v>0</v>
      </c>
      <c r="I86" s="19"/>
      <c r="J86" s="19"/>
      <c r="K86" s="19"/>
      <c r="L86" s="37">
        <f t="shared" si="33"/>
        <v>0</v>
      </c>
      <c r="M86" s="19"/>
      <c r="N86" s="19"/>
      <c r="O86" s="19"/>
      <c r="P86" s="37">
        <f t="shared" si="34"/>
        <v>0</v>
      </c>
      <c r="Q86" s="19"/>
      <c r="R86" s="19"/>
      <c r="S86" s="19"/>
      <c r="T86" s="37">
        <f>SUM(Q86:S86)</f>
        <v>0</v>
      </c>
      <c r="U86" s="37">
        <f t="shared" si="26"/>
        <v>0</v>
      </c>
      <c r="X86" s="123">
        <f t="shared" si="27"/>
        <v>30000</v>
      </c>
    </row>
    <row r="87" spans="1:24" ht="18" customHeight="1">
      <c r="A87" s="18"/>
      <c r="B87" s="59" t="s">
        <v>157</v>
      </c>
      <c r="C87" s="28" t="s">
        <v>144</v>
      </c>
      <c r="D87" s="43">
        <v>45000</v>
      </c>
      <c r="E87" s="19"/>
      <c r="F87" s="19"/>
      <c r="G87" s="19"/>
      <c r="H87" s="37">
        <f t="shared" si="32"/>
        <v>0</v>
      </c>
      <c r="I87" s="19"/>
      <c r="J87" s="19"/>
      <c r="K87" s="19"/>
      <c r="L87" s="37">
        <f t="shared" si="33"/>
        <v>0</v>
      </c>
      <c r="M87" s="19"/>
      <c r="N87" s="19">
        <v>38100</v>
      </c>
      <c r="O87" s="19">
        <v>500</v>
      </c>
      <c r="P87" s="37">
        <f t="shared" si="34"/>
        <v>38600</v>
      </c>
      <c r="Q87" s="19"/>
      <c r="R87" s="19"/>
      <c r="S87" s="19"/>
      <c r="T87" s="37">
        <f>SUM(Q87:S87)</f>
        <v>0</v>
      </c>
      <c r="U87" s="37">
        <f t="shared" si="26"/>
        <v>38600</v>
      </c>
      <c r="X87" s="123">
        <f t="shared" si="27"/>
        <v>6400</v>
      </c>
    </row>
    <row r="88" spans="1:24" ht="18" customHeight="1">
      <c r="A88" s="18"/>
      <c r="B88" s="59" t="s">
        <v>158</v>
      </c>
      <c r="C88" s="28" t="s">
        <v>144</v>
      </c>
      <c r="D88" s="43">
        <v>120000</v>
      </c>
      <c r="E88" s="19"/>
      <c r="F88" s="19"/>
      <c r="G88" s="19"/>
      <c r="H88" s="37">
        <f aca="true" t="shared" si="35" ref="H88:H101">SUM(E88:G88)</f>
        <v>0</v>
      </c>
      <c r="I88" s="19"/>
      <c r="J88" s="19"/>
      <c r="K88" s="19"/>
      <c r="L88" s="37">
        <f aca="true" t="shared" si="36" ref="L88:L101">SUM(I88:K88)</f>
        <v>0</v>
      </c>
      <c r="M88" s="19"/>
      <c r="N88" s="19">
        <f>71800+21139.04+10000</f>
        <v>102939.04000000001</v>
      </c>
      <c r="O88" s="19"/>
      <c r="P88" s="37">
        <f aca="true" t="shared" si="37" ref="P88:P101">SUM(M88:O88)</f>
        <v>102939.04000000001</v>
      </c>
      <c r="Q88" s="19"/>
      <c r="R88" s="19"/>
      <c r="S88" s="19"/>
      <c r="T88" s="37">
        <f aca="true" t="shared" si="38" ref="T88:T102">SUM(Q88:S88)</f>
        <v>0</v>
      </c>
      <c r="U88" s="37">
        <f t="shared" si="26"/>
        <v>102939.04000000001</v>
      </c>
      <c r="X88" s="123">
        <f t="shared" si="27"/>
        <v>17060.959999999992</v>
      </c>
    </row>
    <row r="89" spans="1:24" ht="18" customHeight="1">
      <c r="A89" s="18"/>
      <c r="B89" s="59" t="s">
        <v>159</v>
      </c>
      <c r="C89" s="28" t="s">
        <v>144</v>
      </c>
      <c r="D89" s="43">
        <v>30000</v>
      </c>
      <c r="E89" s="19"/>
      <c r="F89" s="19"/>
      <c r="G89" s="19"/>
      <c r="H89" s="37">
        <f t="shared" si="35"/>
        <v>0</v>
      </c>
      <c r="I89" s="19"/>
      <c r="J89" s="19"/>
      <c r="K89" s="19"/>
      <c r="L89" s="37">
        <f t="shared" si="36"/>
        <v>0</v>
      </c>
      <c r="M89" s="19"/>
      <c r="N89" s="19"/>
      <c r="O89" s="19"/>
      <c r="P89" s="37">
        <f t="shared" si="37"/>
        <v>0</v>
      </c>
      <c r="Q89" s="19"/>
      <c r="R89" s="19"/>
      <c r="S89" s="19"/>
      <c r="T89" s="37">
        <f t="shared" si="38"/>
        <v>0</v>
      </c>
      <c r="U89" s="37">
        <f aca="true" t="shared" si="39" ref="U89:U120">+H89+L89+P89+T89</f>
        <v>0</v>
      </c>
      <c r="X89" s="123">
        <f t="shared" si="27"/>
        <v>30000</v>
      </c>
    </row>
    <row r="90" spans="1:24" ht="18" customHeight="1">
      <c r="A90" s="18"/>
      <c r="B90" s="59" t="s">
        <v>160</v>
      </c>
      <c r="C90" s="28" t="s">
        <v>144</v>
      </c>
      <c r="D90" s="43">
        <v>20000</v>
      </c>
      <c r="E90" s="19"/>
      <c r="F90" s="19"/>
      <c r="G90" s="19"/>
      <c r="H90" s="37">
        <f t="shared" si="35"/>
        <v>0</v>
      </c>
      <c r="I90" s="19"/>
      <c r="J90" s="19"/>
      <c r="K90" s="19"/>
      <c r="L90" s="37">
        <f t="shared" si="36"/>
        <v>0</v>
      </c>
      <c r="M90" s="19"/>
      <c r="N90" s="19"/>
      <c r="O90" s="19"/>
      <c r="P90" s="37">
        <f t="shared" si="37"/>
        <v>0</v>
      </c>
      <c r="Q90" s="19">
        <f>1800+2700+500</f>
        <v>5000</v>
      </c>
      <c r="R90" s="19"/>
      <c r="S90" s="19"/>
      <c r="T90" s="37">
        <f t="shared" si="38"/>
        <v>5000</v>
      </c>
      <c r="U90" s="37">
        <f t="shared" si="39"/>
        <v>5000</v>
      </c>
      <c r="X90" s="123">
        <f t="shared" si="27"/>
        <v>15000</v>
      </c>
    </row>
    <row r="91" spans="1:24" ht="18" customHeight="1">
      <c r="A91" s="18"/>
      <c r="B91" s="59" t="s">
        <v>161</v>
      </c>
      <c r="C91" s="28" t="s">
        <v>144</v>
      </c>
      <c r="D91" s="43">
        <v>30000</v>
      </c>
      <c r="E91" s="19"/>
      <c r="F91" s="19"/>
      <c r="G91" s="19"/>
      <c r="H91" s="37">
        <f t="shared" si="35"/>
        <v>0</v>
      </c>
      <c r="I91" s="19"/>
      <c r="J91" s="19"/>
      <c r="K91" s="19"/>
      <c r="L91" s="37">
        <f t="shared" si="36"/>
        <v>0</v>
      </c>
      <c r="M91" s="19"/>
      <c r="N91" s="19"/>
      <c r="O91" s="19"/>
      <c r="P91" s="37">
        <f t="shared" si="37"/>
        <v>0</v>
      </c>
      <c r="Q91" s="19"/>
      <c r="R91" s="19"/>
      <c r="S91" s="19"/>
      <c r="T91" s="37">
        <f t="shared" si="38"/>
        <v>0</v>
      </c>
      <c r="U91" s="37">
        <f t="shared" si="39"/>
        <v>0</v>
      </c>
      <c r="X91" s="123">
        <f t="shared" si="27"/>
        <v>30000</v>
      </c>
    </row>
    <row r="92" spans="1:24" ht="18" customHeight="1">
      <c r="A92" s="18"/>
      <c r="B92" s="59" t="s">
        <v>162</v>
      </c>
      <c r="C92" s="28" t="s">
        <v>144</v>
      </c>
      <c r="D92" s="43">
        <v>20000</v>
      </c>
      <c r="E92" s="19"/>
      <c r="F92" s="19"/>
      <c r="G92" s="19"/>
      <c r="H92" s="37">
        <f t="shared" si="35"/>
        <v>0</v>
      </c>
      <c r="I92" s="19"/>
      <c r="J92" s="19"/>
      <c r="K92" s="19"/>
      <c r="L92" s="37">
        <f t="shared" si="36"/>
        <v>0</v>
      </c>
      <c r="M92" s="19">
        <v>200</v>
      </c>
      <c r="N92" s="19"/>
      <c r="O92" s="19"/>
      <c r="P92" s="37">
        <f t="shared" si="37"/>
        <v>200</v>
      </c>
      <c r="Q92" s="19"/>
      <c r="R92" s="19"/>
      <c r="S92" s="19"/>
      <c r="T92" s="37">
        <f t="shared" si="38"/>
        <v>0</v>
      </c>
      <c r="U92" s="37">
        <f t="shared" si="39"/>
        <v>200</v>
      </c>
      <c r="X92" s="123">
        <f t="shared" si="27"/>
        <v>19800</v>
      </c>
    </row>
    <row r="93" spans="1:24" ht="18" customHeight="1">
      <c r="A93" s="18"/>
      <c r="B93" s="59" t="s">
        <v>164</v>
      </c>
      <c r="C93" s="28" t="s">
        <v>144</v>
      </c>
      <c r="D93" s="43">
        <v>35000</v>
      </c>
      <c r="E93" s="19"/>
      <c r="F93" s="19"/>
      <c r="G93" s="19"/>
      <c r="H93" s="37">
        <f t="shared" si="35"/>
        <v>0</v>
      </c>
      <c r="I93" s="19"/>
      <c r="J93" s="19"/>
      <c r="K93" s="19"/>
      <c r="L93" s="37">
        <f t="shared" si="36"/>
        <v>0</v>
      </c>
      <c r="M93" s="19"/>
      <c r="N93" s="19"/>
      <c r="O93" s="19"/>
      <c r="P93" s="37">
        <f t="shared" si="37"/>
        <v>0</v>
      </c>
      <c r="Q93" s="19"/>
      <c r="R93" s="19"/>
      <c r="S93" s="19"/>
      <c r="T93" s="37">
        <f t="shared" si="38"/>
        <v>0</v>
      </c>
      <c r="U93" s="37">
        <f t="shared" si="39"/>
        <v>0</v>
      </c>
      <c r="X93" s="123">
        <f t="shared" si="27"/>
        <v>35000</v>
      </c>
    </row>
    <row r="94" spans="1:24" ht="18" customHeight="1">
      <c r="A94" s="18"/>
      <c r="B94" s="59" t="s">
        <v>165</v>
      </c>
      <c r="C94" s="28" t="s">
        <v>144</v>
      </c>
      <c r="D94" s="43">
        <v>25000</v>
      </c>
      <c r="E94" s="19"/>
      <c r="F94" s="19"/>
      <c r="G94" s="19"/>
      <c r="H94" s="37">
        <f t="shared" si="35"/>
        <v>0</v>
      </c>
      <c r="I94" s="19"/>
      <c r="J94" s="19"/>
      <c r="K94" s="19"/>
      <c r="L94" s="37">
        <f t="shared" si="36"/>
        <v>0</v>
      </c>
      <c r="M94" s="19"/>
      <c r="N94" s="19"/>
      <c r="O94" s="19"/>
      <c r="P94" s="37">
        <f t="shared" si="37"/>
        <v>0</v>
      </c>
      <c r="Q94" s="19"/>
      <c r="R94" s="19"/>
      <c r="S94" s="19"/>
      <c r="T94" s="37">
        <f t="shared" si="38"/>
        <v>0</v>
      </c>
      <c r="U94" s="37">
        <f t="shared" si="39"/>
        <v>0</v>
      </c>
      <c r="X94" s="123">
        <f t="shared" si="27"/>
        <v>25000</v>
      </c>
    </row>
    <row r="95" spans="1:24" ht="18" customHeight="1">
      <c r="A95" s="18"/>
      <c r="B95" s="59" t="s">
        <v>191</v>
      </c>
      <c r="C95" s="28"/>
      <c r="D95" s="43">
        <v>30000</v>
      </c>
      <c r="E95" s="19"/>
      <c r="F95" s="19"/>
      <c r="G95" s="19"/>
      <c r="H95" s="37">
        <f t="shared" si="35"/>
        <v>0</v>
      </c>
      <c r="I95" s="19"/>
      <c r="J95" s="19"/>
      <c r="K95" s="19"/>
      <c r="L95" s="37">
        <f t="shared" si="36"/>
        <v>0</v>
      </c>
      <c r="M95" s="19"/>
      <c r="N95" s="19"/>
      <c r="O95" s="19"/>
      <c r="P95" s="37">
        <f t="shared" si="37"/>
        <v>0</v>
      </c>
      <c r="Q95" s="19"/>
      <c r="R95" s="19">
        <f>6300+500+9380+4750+900</f>
        <v>21830</v>
      </c>
      <c r="S95" s="19"/>
      <c r="T95" s="37">
        <f t="shared" si="38"/>
        <v>21830</v>
      </c>
      <c r="U95" s="37">
        <f t="shared" si="39"/>
        <v>21830</v>
      </c>
      <c r="X95" s="123">
        <f t="shared" si="27"/>
        <v>8170</v>
      </c>
    </row>
    <row r="96" spans="1:24" ht="18" customHeight="1">
      <c r="A96" s="18"/>
      <c r="B96" s="59" t="s">
        <v>192</v>
      </c>
      <c r="C96" s="28"/>
      <c r="D96" s="43">
        <v>25000</v>
      </c>
      <c r="E96" s="19"/>
      <c r="F96" s="19"/>
      <c r="G96" s="19"/>
      <c r="H96" s="37">
        <f t="shared" si="35"/>
        <v>0</v>
      </c>
      <c r="I96" s="19"/>
      <c r="J96" s="19"/>
      <c r="K96" s="19"/>
      <c r="L96" s="37">
        <f t="shared" si="36"/>
        <v>0</v>
      </c>
      <c r="M96" s="19"/>
      <c r="N96" s="19"/>
      <c r="O96" s="19"/>
      <c r="P96" s="37">
        <f t="shared" si="37"/>
        <v>0</v>
      </c>
      <c r="Q96" s="19"/>
      <c r="R96" s="19"/>
      <c r="S96" s="19"/>
      <c r="T96" s="37">
        <f t="shared" si="38"/>
        <v>0</v>
      </c>
      <c r="U96" s="37">
        <f t="shared" si="39"/>
        <v>0</v>
      </c>
      <c r="X96" s="123">
        <f t="shared" si="27"/>
        <v>25000</v>
      </c>
    </row>
    <row r="97" spans="1:24" ht="18" customHeight="1">
      <c r="A97" s="18"/>
      <c r="B97" s="59" t="s">
        <v>193</v>
      </c>
      <c r="C97" s="28"/>
      <c r="D97" s="43">
        <v>25000</v>
      </c>
      <c r="E97" s="19"/>
      <c r="F97" s="19"/>
      <c r="G97" s="19"/>
      <c r="H97" s="37">
        <f t="shared" si="35"/>
        <v>0</v>
      </c>
      <c r="I97" s="19"/>
      <c r="J97" s="19"/>
      <c r="K97" s="19"/>
      <c r="L97" s="37">
        <f t="shared" si="36"/>
        <v>0</v>
      </c>
      <c r="M97" s="19"/>
      <c r="N97" s="19"/>
      <c r="O97" s="19"/>
      <c r="P97" s="37">
        <f t="shared" si="37"/>
        <v>0</v>
      </c>
      <c r="Q97" s="19"/>
      <c r="R97" s="19"/>
      <c r="S97" s="19">
        <f>1800+1802+1650+500</f>
        <v>5752</v>
      </c>
      <c r="T97" s="37">
        <f t="shared" si="38"/>
        <v>5752</v>
      </c>
      <c r="U97" s="37">
        <f t="shared" si="39"/>
        <v>5752</v>
      </c>
      <c r="X97" s="123">
        <f t="shared" si="27"/>
        <v>19248</v>
      </c>
    </row>
    <row r="98" spans="1:24" ht="18" customHeight="1">
      <c r="A98" s="18"/>
      <c r="B98" s="59" t="s">
        <v>194</v>
      </c>
      <c r="C98" s="28"/>
      <c r="D98" s="43">
        <v>30000</v>
      </c>
      <c r="E98" s="19"/>
      <c r="F98" s="19"/>
      <c r="G98" s="19"/>
      <c r="H98" s="37">
        <f t="shared" si="35"/>
        <v>0</v>
      </c>
      <c r="I98" s="19"/>
      <c r="J98" s="19"/>
      <c r="K98" s="19"/>
      <c r="L98" s="37">
        <f t="shared" si="36"/>
        <v>0</v>
      </c>
      <c r="M98" s="19">
        <f>500+2130</f>
        <v>2630</v>
      </c>
      <c r="N98" s="19"/>
      <c r="O98" s="19"/>
      <c r="P98" s="37">
        <f t="shared" si="37"/>
        <v>2630</v>
      </c>
      <c r="Q98" s="19"/>
      <c r="R98" s="19"/>
      <c r="S98" s="19"/>
      <c r="T98" s="37">
        <f t="shared" si="38"/>
        <v>0</v>
      </c>
      <c r="U98" s="37">
        <f t="shared" si="39"/>
        <v>2630</v>
      </c>
      <c r="X98" s="123">
        <f t="shared" si="27"/>
        <v>27370</v>
      </c>
    </row>
    <row r="99" spans="1:24" ht="18" customHeight="1">
      <c r="A99" s="18"/>
      <c r="B99" s="59" t="s">
        <v>195</v>
      </c>
      <c r="C99" s="28"/>
      <c r="D99" s="43">
        <v>20000</v>
      </c>
      <c r="E99" s="19"/>
      <c r="F99" s="19"/>
      <c r="G99" s="19"/>
      <c r="H99" s="37">
        <f t="shared" si="35"/>
        <v>0</v>
      </c>
      <c r="I99" s="19"/>
      <c r="J99" s="19"/>
      <c r="K99" s="19"/>
      <c r="L99" s="37">
        <f t="shared" si="36"/>
        <v>0</v>
      </c>
      <c r="M99" s="19"/>
      <c r="N99" s="19"/>
      <c r="O99" s="19"/>
      <c r="P99" s="37">
        <f t="shared" si="37"/>
        <v>0</v>
      </c>
      <c r="Q99" s="19"/>
      <c r="R99" s="19"/>
      <c r="S99" s="19"/>
      <c r="T99" s="37">
        <f t="shared" si="38"/>
        <v>0</v>
      </c>
      <c r="U99" s="37">
        <f t="shared" si="39"/>
        <v>0</v>
      </c>
      <c r="X99" s="123">
        <f t="shared" si="27"/>
        <v>20000</v>
      </c>
    </row>
    <row r="100" spans="1:24" ht="18" customHeight="1">
      <c r="A100" s="18"/>
      <c r="B100" s="59" t="s">
        <v>196</v>
      </c>
      <c r="C100" s="28"/>
      <c r="D100" s="43">
        <v>20000</v>
      </c>
      <c r="E100" s="19"/>
      <c r="F100" s="19"/>
      <c r="G100" s="19"/>
      <c r="H100" s="37">
        <f t="shared" si="35"/>
        <v>0</v>
      </c>
      <c r="I100" s="19"/>
      <c r="J100" s="19"/>
      <c r="K100" s="19"/>
      <c r="L100" s="37">
        <f t="shared" si="36"/>
        <v>0</v>
      </c>
      <c r="M100" s="19"/>
      <c r="N100" s="19"/>
      <c r="O100" s="19"/>
      <c r="P100" s="37">
        <f t="shared" si="37"/>
        <v>0</v>
      </c>
      <c r="Q100" s="19"/>
      <c r="R100" s="19">
        <f>1500+500+1000</f>
        <v>3000</v>
      </c>
      <c r="S100" s="19"/>
      <c r="T100" s="37">
        <f t="shared" si="38"/>
        <v>3000</v>
      </c>
      <c r="U100" s="37">
        <f t="shared" si="39"/>
        <v>3000</v>
      </c>
      <c r="X100" s="123">
        <f t="shared" si="27"/>
        <v>17000</v>
      </c>
    </row>
    <row r="101" spans="1:24" ht="18" customHeight="1">
      <c r="A101" s="18"/>
      <c r="B101" s="59" t="s">
        <v>212</v>
      </c>
      <c r="C101" s="28"/>
      <c r="D101" s="43">
        <f>30000-3810-3810</f>
        <v>22380</v>
      </c>
      <c r="E101" s="19"/>
      <c r="F101" s="19"/>
      <c r="G101" s="19"/>
      <c r="H101" s="37">
        <f t="shared" si="35"/>
        <v>0</v>
      </c>
      <c r="I101" s="19"/>
      <c r="J101" s="19"/>
      <c r="K101" s="19"/>
      <c r="L101" s="37">
        <f t="shared" si="36"/>
        <v>0</v>
      </c>
      <c r="M101" s="19"/>
      <c r="N101" s="19"/>
      <c r="O101" s="19"/>
      <c r="P101" s="37">
        <f t="shared" si="37"/>
        <v>0</v>
      </c>
      <c r="Q101" s="19">
        <f>2400+1375+1375+500</f>
        <v>5650</v>
      </c>
      <c r="R101" s="19"/>
      <c r="S101" s="19"/>
      <c r="T101" s="37">
        <f t="shared" si="38"/>
        <v>5650</v>
      </c>
      <c r="U101" s="37">
        <f t="shared" si="39"/>
        <v>5650</v>
      </c>
      <c r="X101" s="123">
        <f t="shared" si="27"/>
        <v>16730</v>
      </c>
    </row>
    <row r="102" spans="1:24" ht="18" customHeight="1">
      <c r="A102" s="18"/>
      <c r="B102" s="59" t="s">
        <v>171</v>
      </c>
      <c r="C102" s="28" t="s">
        <v>148</v>
      </c>
      <c r="D102" s="43">
        <v>10000</v>
      </c>
      <c r="E102" s="19"/>
      <c r="F102" s="19"/>
      <c r="G102" s="19"/>
      <c r="H102" s="37">
        <f>SUM(E102:G102)</f>
        <v>0</v>
      </c>
      <c r="I102" s="19">
        <f>8000+600</f>
        <v>8600</v>
      </c>
      <c r="J102" s="19"/>
      <c r="K102" s="19"/>
      <c r="L102" s="37">
        <f>SUM(I102:K102)</f>
        <v>8600</v>
      </c>
      <c r="M102" s="19"/>
      <c r="N102" s="19"/>
      <c r="O102" s="19"/>
      <c r="P102" s="37">
        <f>SUM(M102:O102)</f>
        <v>0</v>
      </c>
      <c r="Q102" s="19"/>
      <c r="R102" s="19"/>
      <c r="S102" s="19"/>
      <c r="T102" s="37">
        <f t="shared" si="38"/>
        <v>0</v>
      </c>
      <c r="U102" s="37">
        <f t="shared" si="39"/>
        <v>8600</v>
      </c>
      <c r="X102" s="123">
        <f t="shared" si="27"/>
        <v>1400</v>
      </c>
    </row>
    <row r="103" spans="1:24" ht="18" customHeight="1">
      <c r="A103" s="18"/>
      <c r="B103" s="59" t="s">
        <v>172</v>
      </c>
      <c r="C103" s="28" t="s">
        <v>148</v>
      </c>
      <c r="D103" s="43">
        <v>5000</v>
      </c>
      <c r="E103" s="19"/>
      <c r="F103" s="19"/>
      <c r="G103" s="19"/>
      <c r="H103" s="37">
        <f t="shared" si="32"/>
        <v>0</v>
      </c>
      <c r="I103" s="19"/>
      <c r="J103" s="19"/>
      <c r="K103" s="19"/>
      <c r="L103" s="37">
        <f t="shared" si="33"/>
        <v>0</v>
      </c>
      <c r="M103" s="19"/>
      <c r="N103" s="19"/>
      <c r="O103" s="19"/>
      <c r="P103" s="37">
        <f t="shared" si="34"/>
        <v>0</v>
      </c>
      <c r="Q103" s="19"/>
      <c r="R103" s="19"/>
      <c r="S103" s="19"/>
      <c r="T103" s="37">
        <f aca="true" t="shared" si="40" ref="T103:T117">SUM(Q103:S103)</f>
        <v>0</v>
      </c>
      <c r="U103" s="37">
        <f t="shared" si="39"/>
        <v>0</v>
      </c>
      <c r="X103" s="123">
        <f t="shared" si="27"/>
        <v>5000</v>
      </c>
    </row>
    <row r="104" spans="1:24" ht="18" customHeight="1">
      <c r="A104" s="18"/>
      <c r="B104" s="59" t="s">
        <v>173</v>
      </c>
      <c r="C104" s="28" t="s">
        <v>148</v>
      </c>
      <c r="D104" s="43">
        <v>5000</v>
      </c>
      <c r="E104" s="19"/>
      <c r="F104" s="19"/>
      <c r="G104" s="19"/>
      <c r="H104" s="37">
        <f t="shared" si="32"/>
        <v>0</v>
      </c>
      <c r="I104" s="19"/>
      <c r="J104" s="19"/>
      <c r="K104" s="19"/>
      <c r="L104" s="37">
        <f t="shared" si="33"/>
        <v>0</v>
      </c>
      <c r="M104" s="19"/>
      <c r="N104" s="19"/>
      <c r="O104" s="19"/>
      <c r="P104" s="37">
        <f t="shared" si="34"/>
        <v>0</v>
      </c>
      <c r="Q104" s="19"/>
      <c r="R104" s="19"/>
      <c r="S104" s="19"/>
      <c r="T104" s="37">
        <f t="shared" si="40"/>
        <v>0</v>
      </c>
      <c r="U104" s="37">
        <f t="shared" si="39"/>
        <v>0</v>
      </c>
      <c r="X104" s="123">
        <f t="shared" si="27"/>
        <v>5000</v>
      </c>
    </row>
    <row r="105" spans="1:24" ht="18" customHeight="1">
      <c r="A105" s="18"/>
      <c r="B105" s="59" t="s">
        <v>174</v>
      </c>
      <c r="C105" s="28" t="s">
        <v>148</v>
      </c>
      <c r="D105" s="43">
        <v>10000</v>
      </c>
      <c r="E105" s="19"/>
      <c r="F105" s="19"/>
      <c r="G105" s="19"/>
      <c r="H105" s="37">
        <f t="shared" si="32"/>
        <v>0</v>
      </c>
      <c r="I105" s="19"/>
      <c r="J105" s="19"/>
      <c r="K105" s="19"/>
      <c r="L105" s="37">
        <f t="shared" si="33"/>
        <v>0</v>
      </c>
      <c r="M105" s="19">
        <f>9000+535</f>
        <v>9535</v>
      </c>
      <c r="N105" s="19"/>
      <c r="O105" s="19"/>
      <c r="P105" s="37">
        <f t="shared" si="34"/>
        <v>9535</v>
      </c>
      <c r="Q105" s="19"/>
      <c r="R105" s="19"/>
      <c r="S105" s="19"/>
      <c r="T105" s="37">
        <f t="shared" si="40"/>
        <v>0</v>
      </c>
      <c r="U105" s="37">
        <f t="shared" si="39"/>
        <v>9535</v>
      </c>
      <c r="X105" s="123">
        <f t="shared" si="27"/>
        <v>465</v>
      </c>
    </row>
    <row r="106" spans="1:24" ht="18" customHeight="1">
      <c r="A106" s="18"/>
      <c r="B106" s="59" t="s">
        <v>210</v>
      </c>
      <c r="C106" s="28"/>
      <c r="D106" s="43">
        <v>10000</v>
      </c>
      <c r="E106" s="19"/>
      <c r="F106" s="19"/>
      <c r="G106" s="19"/>
      <c r="H106" s="37">
        <f t="shared" si="32"/>
        <v>0</v>
      </c>
      <c r="I106" s="19"/>
      <c r="J106" s="19"/>
      <c r="K106" s="19"/>
      <c r="L106" s="37">
        <f t="shared" si="33"/>
        <v>0</v>
      </c>
      <c r="M106" s="19"/>
      <c r="N106" s="19"/>
      <c r="O106" s="19"/>
      <c r="P106" s="37">
        <f t="shared" si="34"/>
        <v>0</v>
      </c>
      <c r="Q106" s="19">
        <v>5000</v>
      </c>
      <c r="R106" s="19"/>
      <c r="S106" s="19"/>
      <c r="T106" s="37">
        <f t="shared" si="40"/>
        <v>5000</v>
      </c>
      <c r="U106" s="37">
        <f t="shared" si="39"/>
        <v>5000</v>
      </c>
      <c r="X106" s="123"/>
    </row>
    <row r="107" spans="1:24" ht="18" customHeight="1">
      <c r="A107" s="18"/>
      <c r="B107" s="59" t="s">
        <v>211</v>
      </c>
      <c r="C107" s="28"/>
      <c r="D107" s="43">
        <v>50000</v>
      </c>
      <c r="E107" s="19"/>
      <c r="F107" s="19"/>
      <c r="G107" s="19"/>
      <c r="H107" s="37">
        <f t="shared" si="32"/>
        <v>0</v>
      </c>
      <c r="I107" s="19"/>
      <c r="J107" s="19"/>
      <c r="K107" s="19"/>
      <c r="L107" s="37">
        <f t="shared" si="33"/>
        <v>0</v>
      </c>
      <c r="M107" s="19"/>
      <c r="N107" s="19"/>
      <c r="O107" s="19"/>
      <c r="P107" s="37">
        <f t="shared" si="34"/>
        <v>0</v>
      </c>
      <c r="Q107" s="19">
        <f>16150+3000+2025+1090+500</f>
        <v>22765</v>
      </c>
      <c r="R107" s="19"/>
      <c r="S107" s="19"/>
      <c r="T107" s="37">
        <f t="shared" si="40"/>
        <v>22765</v>
      </c>
      <c r="U107" s="37">
        <f t="shared" si="39"/>
        <v>22765</v>
      </c>
      <c r="X107" s="123"/>
    </row>
    <row r="108" spans="1:24" ht="18" customHeight="1">
      <c r="A108" s="18"/>
      <c r="B108" s="59" t="s">
        <v>213</v>
      </c>
      <c r="C108" s="28"/>
      <c r="D108" s="43">
        <v>20000</v>
      </c>
      <c r="E108" s="19"/>
      <c r="F108" s="19"/>
      <c r="G108" s="19"/>
      <c r="H108" s="37">
        <f t="shared" si="32"/>
        <v>0</v>
      </c>
      <c r="I108" s="19"/>
      <c r="J108" s="19"/>
      <c r="K108" s="19"/>
      <c r="L108" s="37">
        <f t="shared" si="33"/>
        <v>0</v>
      </c>
      <c r="M108" s="19"/>
      <c r="N108" s="19"/>
      <c r="O108" s="19"/>
      <c r="P108" s="37">
        <f t="shared" si="34"/>
        <v>0</v>
      </c>
      <c r="Q108" s="19"/>
      <c r="R108" s="19">
        <f>1190+604+500</f>
        <v>2294</v>
      </c>
      <c r="S108" s="19"/>
      <c r="T108" s="37">
        <f t="shared" si="40"/>
        <v>2294</v>
      </c>
      <c r="U108" s="37">
        <f t="shared" si="39"/>
        <v>2294</v>
      </c>
      <c r="X108" s="123"/>
    </row>
    <row r="109" spans="1:24" ht="18" customHeight="1">
      <c r="A109" s="18"/>
      <c r="B109" s="59" t="s">
        <v>229</v>
      </c>
      <c r="C109" s="28"/>
      <c r="D109" s="43">
        <v>30000</v>
      </c>
      <c r="E109" s="19"/>
      <c r="F109" s="19"/>
      <c r="G109" s="19"/>
      <c r="H109" s="37">
        <f t="shared" si="32"/>
        <v>0</v>
      </c>
      <c r="I109" s="19"/>
      <c r="J109" s="19"/>
      <c r="K109" s="19"/>
      <c r="L109" s="37">
        <f t="shared" si="33"/>
        <v>0</v>
      </c>
      <c r="M109" s="19"/>
      <c r="N109" s="19"/>
      <c r="O109" s="19"/>
      <c r="P109" s="37">
        <f t="shared" si="34"/>
        <v>0</v>
      </c>
      <c r="Q109" s="19"/>
      <c r="R109" s="19"/>
      <c r="S109" s="19"/>
      <c r="T109" s="37">
        <f t="shared" si="40"/>
        <v>0</v>
      </c>
      <c r="U109" s="37">
        <f t="shared" si="39"/>
        <v>0</v>
      </c>
      <c r="X109" s="123"/>
    </row>
    <row r="110" spans="1:24" ht="18" customHeight="1">
      <c r="A110" s="18"/>
      <c r="B110" s="59" t="s">
        <v>220</v>
      </c>
      <c r="C110" s="28"/>
      <c r="D110" s="43">
        <f>100000+80000</f>
        <v>180000</v>
      </c>
      <c r="E110" s="19"/>
      <c r="F110" s="19"/>
      <c r="G110" s="19"/>
      <c r="H110" s="37">
        <f t="shared" si="32"/>
        <v>0</v>
      </c>
      <c r="I110" s="19"/>
      <c r="J110" s="19"/>
      <c r="K110" s="19"/>
      <c r="L110" s="37">
        <f t="shared" si="33"/>
        <v>0</v>
      </c>
      <c r="M110" s="19"/>
      <c r="N110" s="19"/>
      <c r="O110" s="19"/>
      <c r="P110" s="37">
        <f t="shared" si="34"/>
        <v>0</v>
      </c>
      <c r="Q110" s="19"/>
      <c r="R110" s="19"/>
      <c r="S110" s="19"/>
      <c r="T110" s="37">
        <f t="shared" si="40"/>
        <v>0</v>
      </c>
      <c r="U110" s="37">
        <f t="shared" si="39"/>
        <v>0</v>
      </c>
      <c r="X110" s="123"/>
    </row>
    <row r="111" spans="1:24" ht="18" customHeight="1">
      <c r="A111" s="18"/>
      <c r="B111" s="59" t="s">
        <v>221</v>
      </c>
      <c r="C111" s="28"/>
      <c r="D111" s="43">
        <f>20000+18100</f>
        <v>38100</v>
      </c>
      <c r="E111" s="19"/>
      <c r="F111" s="19"/>
      <c r="G111" s="19"/>
      <c r="H111" s="37">
        <f t="shared" si="32"/>
        <v>0</v>
      </c>
      <c r="I111" s="19"/>
      <c r="J111" s="19"/>
      <c r="K111" s="19"/>
      <c r="L111" s="37">
        <f t="shared" si="33"/>
        <v>0</v>
      </c>
      <c r="M111" s="19"/>
      <c r="N111" s="19"/>
      <c r="O111" s="19"/>
      <c r="P111" s="37">
        <f t="shared" si="34"/>
        <v>0</v>
      </c>
      <c r="Q111" s="19"/>
      <c r="R111" s="19"/>
      <c r="S111" s="19"/>
      <c r="T111" s="37">
        <f t="shared" si="40"/>
        <v>0</v>
      </c>
      <c r="U111" s="37">
        <f t="shared" si="39"/>
        <v>0</v>
      </c>
      <c r="X111" s="123"/>
    </row>
    <row r="112" spans="1:24" ht="18" customHeight="1">
      <c r="A112" s="18"/>
      <c r="B112" s="59" t="s">
        <v>112</v>
      </c>
      <c r="C112" s="28" t="s">
        <v>144</v>
      </c>
      <c r="D112" s="43">
        <f>100000+50000</f>
        <v>150000</v>
      </c>
      <c r="E112" s="19"/>
      <c r="F112" s="19"/>
      <c r="G112" s="19">
        <f>503.97+160.5+6022.75+5072.34+350</f>
        <v>12109.560000000001</v>
      </c>
      <c r="H112" s="37">
        <f t="shared" si="32"/>
        <v>12109.560000000001</v>
      </c>
      <c r="I112" s="19">
        <v>1000</v>
      </c>
      <c r="J112" s="19">
        <f>4395.43+39000</f>
        <v>43395.43</v>
      </c>
      <c r="K112" s="19">
        <f>550+3905.5+120</f>
        <v>4575.5</v>
      </c>
      <c r="L112" s="37">
        <f t="shared" si="33"/>
        <v>48970.93</v>
      </c>
      <c r="M112" s="19">
        <f>1355+4616.98</f>
        <v>5971.98</v>
      </c>
      <c r="N112" s="19">
        <v>150</v>
      </c>
      <c r="O112" s="19">
        <v>4240</v>
      </c>
      <c r="P112" s="37">
        <f t="shared" si="34"/>
        <v>10361.98</v>
      </c>
      <c r="Q112" s="19">
        <f>11700+12750</f>
        <v>24450</v>
      </c>
      <c r="R112" s="19">
        <f>7918+2650+150+5800</f>
        <v>16518</v>
      </c>
      <c r="S112" s="19"/>
      <c r="T112" s="37">
        <f t="shared" si="40"/>
        <v>40968</v>
      </c>
      <c r="U112" s="37">
        <f t="shared" si="39"/>
        <v>112410.47</v>
      </c>
      <c r="X112" s="123">
        <f aca="true" t="shared" si="41" ref="X112:X117">+D112-U112</f>
        <v>37589.53</v>
      </c>
    </row>
    <row r="113" spans="1:24" ht="18" customHeight="1">
      <c r="A113" s="18"/>
      <c r="B113" s="59" t="s">
        <v>113</v>
      </c>
      <c r="C113" s="28" t="s">
        <v>146</v>
      </c>
      <c r="D113" s="43">
        <f>30000+20000</f>
        <v>50000</v>
      </c>
      <c r="E113" s="19"/>
      <c r="F113" s="19"/>
      <c r="G113" s="19">
        <v>800</v>
      </c>
      <c r="H113" s="37">
        <f t="shared" si="32"/>
        <v>800</v>
      </c>
      <c r="I113" s="19"/>
      <c r="J113" s="19">
        <v>2000</v>
      </c>
      <c r="K113" s="19"/>
      <c r="L113" s="37">
        <f t="shared" si="33"/>
        <v>2000</v>
      </c>
      <c r="M113" s="19">
        <v>1600</v>
      </c>
      <c r="N113" s="19">
        <f>1781.55+3500</f>
        <v>5281.55</v>
      </c>
      <c r="O113" s="19">
        <v>12500</v>
      </c>
      <c r="P113" s="37">
        <f t="shared" si="34"/>
        <v>19381.55</v>
      </c>
      <c r="Q113" s="19">
        <f>2200+4992.62</f>
        <v>7192.62</v>
      </c>
      <c r="R113" s="19">
        <v>1800</v>
      </c>
      <c r="S113" s="19">
        <v>2314.41</v>
      </c>
      <c r="T113" s="37">
        <f t="shared" si="40"/>
        <v>11307.029999999999</v>
      </c>
      <c r="U113" s="37">
        <f t="shared" si="39"/>
        <v>33488.58</v>
      </c>
      <c r="X113" s="123">
        <f t="shared" si="41"/>
        <v>16511.42</v>
      </c>
    </row>
    <row r="114" spans="1:24" ht="18" customHeight="1">
      <c r="A114" s="18"/>
      <c r="B114" s="59" t="s">
        <v>216</v>
      </c>
      <c r="C114" s="28" t="s">
        <v>148</v>
      </c>
      <c r="D114" s="43">
        <f>20000-5000-2000</f>
        <v>13000</v>
      </c>
      <c r="E114" s="19"/>
      <c r="F114" s="19"/>
      <c r="G114" s="19"/>
      <c r="H114" s="37">
        <f t="shared" si="32"/>
        <v>0</v>
      </c>
      <c r="I114" s="19"/>
      <c r="J114" s="19"/>
      <c r="K114" s="19"/>
      <c r="L114" s="37">
        <f t="shared" si="33"/>
        <v>0</v>
      </c>
      <c r="M114" s="19"/>
      <c r="N114" s="19"/>
      <c r="O114" s="19"/>
      <c r="P114" s="37">
        <f t="shared" si="34"/>
        <v>0</v>
      </c>
      <c r="Q114" s="19"/>
      <c r="R114" s="19"/>
      <c r="S114" s="19"/>
      <c r="T114" s="37">
        <f t="shared" si="40"/>
        <v>0</v>
      </c>
      <c r="U114" s="37">
        <f t="shared" si="39"/>
        <v>0</v>
      </c>
      <c r="X114" s="123">
        <f t="shared" si="41"/>
        <v>13000</v>
      </c>
    </row>
    <row r="115" spans="1:24" ht="18" customHeight="1">
      <c r="A115" s="18"/>
      <c r="B115" s="59" t="s">
        <v>114</v>
      </c>
      <c r="C115" s="28" t="s">
        <v>147</v>
      </c>
      <c r="D115" s="43">
        <v>30000</v>
      </c>
      <c r="E115" s="19"/>
      <c r="F115" s="19"/>
      <c r="G115" s="19"/>
      <c r="H115" s="37">
        <f t="shared" si="32"/>
        <v>0</v>
      </c>
      <c r="I115" s="19"/>
      <c r="J115" s="19"/>
      <c r="K115" s="19"/>
      <c r="L115" s="37">
        <f t="shared" si="33"/>
        <v>0</v>
      </c>
      <c r="M115" s="19">
        <v>1200</v>
      </c>
      <c r="N115" s="19"/>
      <c r="O115" s="19"/>
      <c r="P115" s="37">
        <f t="shared" si="34"/>
        <v>1200</v>
      </c>
      <c r="Q115" s="19"/>
      <c r="R115" s="19"/>
      <c r="S115" s="19"/>
      <c r="T115" s="37">
        <f t="shared" si="40"/>
        <v>0</v>
      </c>
      <c r="U115" s="37">
        <f t="shared" si="39"/>
        <v>1200</v>
      </c>
      <c r="X115" s="123">
        <f t="shared" si="41"/>
        <v>28800</v>
      </c>
    </row>
    <row r="116" spans="1:24" ht="18" customHeight="1">
      <c r="A116" s="18"/>
      <c r="B116" s="59" t="s">
        <v>115</v>
      </c>
      <c r="C116" s="28" t="s">
        <v>149</v>
      </c>
      <c r="D116" s="43">
        <f>10000</f>
        <v>10000</v>
      </c>
      <c r="E116" s="19"/>
      <c r="F116" s="19"/>
      <c r="G116" s="19"/>
      <c r="H116" s="37">
        <f t="shared" si="32"/>
        <v>0</v>
      </c>
      <c r="I116" s="19"/>
      <c r="J116" s="19"/>
      <c r="K116" s="19"/>
      <c r="L116" s="37">
        <f t="shared" si="33"/>
        <v>0</v>
      </c>
      <c r="M116" s="19"/>
      <c r="N116" s="19"/>
      <c r="O116" s="19"/>
      <c r="P116" s="37">
        <f t="shared" si="34"/>
        <v>0</v>
      </c>
      <c r="Q116" s="19"/>
      <c r="R116" s="19"/>
      <c r="S116" s="19"/>
      <c r="T116" s="37">
        <f t="shared" si="40"/>
        <v>0</v>
      </c>
      <c r="U116" s="37">
        <f t="shared" si="39"/>
        <v>0</v>
      </c>
      <c r="X116" s="123">
        <f t="shared" si="41"/>
        <v>10000</v>
      </c>
    </row>
    <row r="117" spans="1:24" ht="18" customHeight="1">
      <c r="A117" s="18"/>
      <c r="B117" s="59" t="s">
        <v>104</v>
      </c>
      <c r="C117" s="28" t="s">
        <v>77</v>
      </c>
      <c r="D117" s="43">
        <f>200000+100000+30000+30000-20000+10000</f>
        <v>350000</v>
      </c>
      <c r="E117" s="19"/>
      <c r="F117" s="19"/>
      <c r="G117" s="19"/>
      <c r="H117" s="37">
        <f t="shared" si="32"/>
        <v>0</v>
      </c>
      <c r="I117" s="19">
        <v>3500</v>
      </c>
      <c r="J117" s="19">
        <f>520+1410</f>
        <v>1930</v>
      </c>
      <c r="K117" s="19"/>
      <c r="L117" s="37">
        <f t="shared" si="33"/>
        <v>5430</v>
      </c>
      <c r="M117" s="19"/>
      <c r="N117" s="19">
        <f>7820+8500+416</f>
        <v>16736</v>
      </c>
      <c r="O117" s="19">
        <f>7900+7900+8724+7340+7340</f>
        <v>39204</v>
      </c>
      <c r="P117" s="37">
        <f t="shared" si="34"/>
        <v>55940</v>
      </c>
      <c r="Q117" s="19">
        <f>6100+1038+1040</f>
        <v>8178</v>
      </c>
      <c r="R117" s="19">
        <f>3160+2800+3160+3160+3100+3200</f>
        <v>18580</v>
      </c>
      <c r="S117" s="19">
        <v>4800</v>
      </c>
      <c r="T117" s="37">
        <f t="shared" si="40"/>
        <v>31558</v>
      </c>
      <c r="U117" s="37">
        <f t="shared" si="39"/>
        <v>92928</v>
      </c>
      <c r="X117" s="123">
        <f t="shared" si="41"/>
        <v>257072</v>
      </c>
    </row>
    <row r="118" spans="1:24" s="72" customFormat="1" ht="18" customHeight="1">
      <c r="A118" s="73" t="s">
        <v>95</v>
      </c>
      <c r="B118" s="74"/>
      <c r="C118" s="75"/>
      <c r="D118" s="77">
        <f aca="true" t="shared" si="42" ref="D118:K118">SUM(D119:D123)</f>
        <v>662000</v>
      </c>
      <c r="E118" s="77">
        <f t="shared" si="42"/>
        <v>0</v>
      </c>
      <c r="F118" s="77">
        <f t="shared" si="42"/>
        <v>151000</v>
      </c>
      <c r="G118" s="77">
        <f t="shared" si="42"/>
        <v>0</v>
      </c>
      <c r="H118" s="77">
        <f t="shared" si="42"/>
        <v>151000</v>
      </c>
      <c r="I118" s="77">
        <f t="shared" si="42"/>
        <v>55000</v>
      </c>
      <c r="J118" s="77">
        <f t="shared" si="42"/>
        <v>151000</v>
      </c>
      <c r="K118" s="77">
        <f t="shared" si="42"/>
        <v>0</v>
      </c>
      <c r="L118" s="77">
        <f aca="true" t="shared" si="43" ref="L118:T118">SUM(L119:L123)</f>
        <v>206000</v>
      </c>
      <c r="M118" s="77">
        <f t="shared" si="43"/>
        <v>0</v>
      </c>
      <c r="N118" s="77">
        <f t="shared" si="43"/>
        <v>0</v>
      </c>
      <c r="O118" s="77">
        <f t="shared" si="43"/>
        <v>150000</v>
      </c>
      <c r="P118" s="77">
        <f t="shared" si="43"/>
        <v>150000</v>
      </c>
      <c r="Q118" s="77">
        <f t="shared" si="43"/>
        <v>0</v>
      </c>
      <c r="R118" s="77">
        <f t="shared" si="43"/>
        <v>150000</v>
      </c>
      <c r="S118" s="77">
        <f t="shared" si="43"/>
        <v>0</v>
      </c>
      <c r="T118" s="77">
        <f t="shared" si="43"/>
        <v>150000</v>
      </c>
      <c r="U118" s="77">
        <f t="shared" si="39"/>
        <v>657000</v>
      </c>
      <c r="V118" s="70">
        <f>SUM(U119:U123)</f>
        <v>657000</v>
      </c>
      <c r="W118" s="71">
        <f>SUM(D119:D121)</f>
        <v>662000</v>
      </c>
      <c r="X118" s="70">
        <f>+W118-V118</f>
        <v>5000</v>
      </c>
    </row>
    <row r="119" spans="1:24" s="84" customFormat="1" ht="18" customHeight="1">
      <c r="A119" s="98"/>
      <c r="B119" s="99" t="s">
        <v>96</v>
      </c>
      <c r="C119" s="100" t="s">
        <v>150</v>
      </c>
      <c r="D119" s="101">
        <v>602000</v>
      </c>
      <c r="E119" s="102"/>
      <c r="F119" s="102">
        <f>25000+126000</f>
        <v>151000</v>
      </c>
      <c r="G119" s="102"/>
      <c r="H119" s="103">
        <f t="shared" si="32"/>
        <v>151000</v>
      </c>
      <c r="I119" s="83"/>
      <c r="J119" s="83">
        <f>126000+25000</f>
        <v>151000</v>
      </c>
      <c r="K119" s="83"/>
      <c r="L119" s="82">
        <f t="shared" si="33"/>
        <v>151000</v>
      </c>
      <c r="M119" s="83"/>
      <c r="N119" s="83"/>
      <c r="O119" s="83">
        <f>27000+123000</f>
        <v>150000</v>
      </c>
      <c r="P119" s="82">
        <f t="shared" si="34"/>
        <v>150000</v>
      </c>
      <c r="Q119" s="83"/>
      <c r="R119" s="83">
        <f>123000+27000</f>
        <v>150000</v>
      </c>
      <c r="S119" s="83"/>
      <c r="T119" s="82">
        <f>SUM(Q119:S119)</f>
        <v>150000</v>
      </c>
      <c r="U119" s="82">
        <f t="shared" si="39"/>
        <v>602000</v>
      </c>
      <c r="W119" s="85"/>
      <c r="X119" s="123">
        <f>+D119-U119</f>
        <v>0</v>
      </c>
    </row>
    <row r="120" spans="1:24" ht="18" customHeight="1">
      <c r="A120" s="16"/>
      <c r="B120" s="61" t="s">
        <v>97</v>
      </c>
      <c r="C120" s="30" t="s">
        <v>150</v>
      </c>
      <c r="D120" s="45">
        <f>10000+5000</f>
        <v>15000</v>
      </c>
      <c r="E120" s="17"/>
      <c r="F120" s="17"/>
      <c r="G120" s="17"/>
      <c r="H120" s="38">
        <f t="shared" si="32"/>
        <v>0</v>
      </c>
      <c r="I120" s="19">
        <v>15000</v>
      </c>
      <c r="J120" s="19"/>
      <c r="K120" s="19"/>
      <c r="L120" s="37">
        <f t="shared" si="33"/>
        <v>15000</v>
      </c>
      <c r="M120" s="19"/>
      <c r="N120" s="19"/>
      <c r="O120" s="19"/>
      <c r="P120" s="37">
        <f t="shared" si="34"/>
        <v>0</v>
      </c>
      <c r="Q120" s="19"/>
      <c r="R120" s="19"/>
      <c r="S120" s="19"/>
      <c r="T120" s="37">
        <f>SUM(Q120:S120)</f>
        <v>0</v>
      </c>
      <c r="U120" s="37">
        <f t="shared" si="39"/>
        <v>15000</v>
      </c>
      <c r="X120" s="123">
        <f>+D120-U120</f>
        <v>0</v>
      </c>
    </row>
    <row r="121" spans="1:24" ht="18" customHeight="1">
      <c r="A121" s="16"/>
      <c r="B121" s="61" t="s">
        <v>98</v>
      </c>
      <c r="C121" s="30" t="s">
        <v>150</v>
      </c>
      <c r="D121" s="45">
        <f>50000-5000</f>
        <v>45000</v>
      </c>
      <c r="E121" s="17"/>
      <c r="F121" s="17"/>
      <c r="G121" s="17"/>
      <c r="H121" s="38">
        <f t="shared" si="32"/>
        <v>0</v>
      </c>
      <c r="I121" s="19">
        <v>40000</v>
      </c>
      <c r="J121" s="19"/>
      <c r="K121" s="19"/>
      <c r="L121" s="37">
        <f t="shared" si="33"/>
        <v>40000</v>
      </c>
      <c r="M121" s="19"/>
      <c r="N121" s="19"/>
      <c r="O121" s="19"/>
      <c r="P121" s="37">
        <f t="shared" si="34"/>
        <v>0</v>
      </c>
      <c r="Q121" s="19"/>
      <c r="R121" s="19"/>
      <c r="S121" s="19"/>
      <c r="T121" s="37">
        <f>SUM(Q121:S121)</f>
        <v>0</v>
      </c>
      <c r="U121" s="37">
        <f aca="true" t="shared" si="44" ref="U121:U152">+H121+L121+P121+T121</f>
        <v>40000</v>
      </c>
      <c r="X121" s="123">
        <f>+D121-U121</f>
        <v>5000</v>
      </c>
    </row>
    <row r="122" spans="1:21" ht="18" customHeight="1" hidden="1">
      <c r="A122" s="16"/>
      <c r="B122" s="61"/>
      <c r="C122" s="30"/>
      <c r="D122" s="45"/>
      <c r="E122" s="17"/>
      <c r="F122" s="17"/>
      <c r="G122" s="17"/>
      <c r="H122" s="38">
        <f t="shared" si="32"/>
        <v>0</v>
      </c>
      <c r="I122" s="19"/>
      <c r="J122" s="19"/>
      <c r="K122" s="19"/>
      <c r="L122" s="37">
        <f t="shared" si="33"/>
        <v>0</v>
      </c>
      <c r="M122" s="19"/>
      <c r="N122" s="19"/>
      <c r="O122" s="19"/>
      <c r="P122" s="37">
        <f t="shared" si="34"/>
        <v>0</v>
      </c>
      <c r="Q122" s="19"/>
      <c r="R122" s="19"/>
      <c r="S122" s="19"/>
      <c r="T122" s="37">
        <f>SUM(Q122:S122)</f>
        <v>0</v>
      </c>
      <c r="U122" s="37">
        <f t="shared" si="44"/>
        <v>0</v>
      </c>
    </row>
    <row r="123" spans="1:21" ht="18" customHeight="1" hidden="1">
      <c r="A123" s="16"/>
      <c r="B123" s="61"/>
      <c r="C123" s="30"/>
      <c r="D123" s="45"/>
      <c r="E123" s="17"/>
      <c r="F123" s="17"/>
      <c r="G123" s="17"/>
      <c r="H123" s="38">
        <f t="shared" si="32"/>
        <v>0</v>
      </c>
      <c r="I123" s="19"/>
      <c r="J123" s="19"/>
      <c r="K123" s="19"/>
      <c r="L123" s="37">
        <f t="shared" si="33"/>
        <v>0</v>
      </c>
      <c r="M123" s="19"/>
      <c r="N123" s="19"/>
      <c r="O123" s="19"/>
      <c r="P123" s="37">
        <f t="shared" si="34"/>
        <v>0</v>
      </c>
      <c r="Q123" s="19"/>
      <c r="R123" s="19"/>
      <c r="S123" s="19"/>
      <c r="T123" s="37">
        <f>SUM(Q123:S123)</f>
        <v>0</v>
      </c>
      <c r="U123" s="37">
        <f t="shared" si="44"/>
        <v>0</v>
      </c>
    </row>
    <row r="124" spans="1:24" s="72" customFormat="1" ht="18" customHeight="1">
      <c r="A124" s="73" t="s">
        <v>105</v>
      </c>
      <c r="B124" s="74"/>
      <c r="C124" s="75"/>
      <c r="D124" s="77">
        <f aca="true" t="shared" si="45" ref="D124:K124">SUM(D125:D145)</f>
        <v>3363700</v>
      </c>
      <c r="E124" s="77">
        <f t="shared" si="45"/>
        <v>0</v>
      </c>
      <c r="F124" s="77">
        <f t="shared" si="45"/>
        <v>0</v>
      </c>
      <c r="G124" s="77">
        <f t="shared" si="45"/>
        <v>0</v>
      </c>
      <c r="H124" s="77">
        <f t="shared" si="45"/>
        <v>0</v>
      </c>
      <c r="I124" s="77">
        <f t="shared" si="45"/>
        <v>0</v>
      </c>
      <c r="J124" s="77">
        <f t="shared" si="45"/>
        <v>0</v>
      </c>
      <c r="K124" s="77">
        <f t="shared" si="45"/>
        <v>45400</v>
      </c>
      <c r="L124" s="77">
        <f aca="true" t="shared" si="46" ref="L124:T124">SUM(L125:L145)</f>
        <v>45400</v>
      </c>
      <c r="M124" s="77">
        <f t="shared" si="46"/>
        <v>128000</v>
      </c>
      <c r="N124" s="77">
        <f t="shared" si="46"/>
        <v>23200</v>
      </c>
      <c r="O124" s="77">
        <f t="shared" si="46"/>
        <v>0</v>
      </c>
      <c r="P124" s="77">
        <f t="shared" si="46"/>
        <v>151200</v>
      </c>
      <c r="Q124" s="77">
        <f t="shared" si="46"/>
        <v>15500</v>
      </c>
      <c r="R124" s="77">
        <f t="shared" si="46"/>
        <v>0</v>
      </c>
      <c r="S124" s="77">
        <f t="shared" si="46"/>
        <v>2939000</v>
      </c>
      <c r="T124" s="77">
        <f t="shared" si="46"/>
        <v>2954500</v>
      </c>
      <c r="U124" s="77">
        <f t="shared" si="44"/>
        <v>3151100</v>
      </c>
      <c r="V124" s="70">
        <f>SUM(U125:U145)</f>
        <v>3151100</v>
      </c>
      <c r="W124" s="71">
        <f>SUM(D125:D145)</f>
        <v>3363700</v>
      </c>
      <c r="X124" s="70">
        <f>+W124-V124</f>
        <v>212600</v>
      </c>
    </row>
    <row r="125" spans="1:24" ht="18" customHeight="1">
      <c r="A125" s="23"/>
      <c r="B125" s="63" t="s">
        <v>107</v>
      </c>
      <c r="C125" s="31" t="s">
        <v>144</v>
      </c>
      <c r="D125" s="46">
        <v>30000</v>
      </c>
      <c r="E125" s="24"/>
      <c r="F125" s="24"/>
      <c r="G125" s="24"/>
      <c r="H125" s="39">
        <f>SUM(E125:G125)</f>
        <v>0</v>
      </c>
      <c r="I125" s="17"/>
      <c r="J125" s="17"/>
      <c r="K125" s="17">
        <v>30000</v>
      </c>
      <c r="L125" s="38">
        <f>SUM(I125:K125)</f>
        <v>30000</v>
      </c>
      <c r="M125" s="17"/>
      <c r="N125" s="17"/>
      <c r="O125" s="17"/>
      <c r="P125" s="38">
        <f>SUM(M125:O125)</f>
        <v>0</v>
      </c>
      <c r="Q125" s="17"/>
      <c r="R125" s="17"/>
      <c r="S125" s="17"/>
      <c r="T125" s="38">
        <f>SUM(Q125:S125)</f>
        <v>0</v>
      </c>
      <c r="U125" s="38">
        <f t="shared" si="44"/>
        <v>30000</v>
      </c>
      <c r="W125" s="15" t="s">
        <v>187</v>
      </c>
      <c r="X125" s="123">
        <f aca="true" t="shared" si="47" ref="X125:X142">+D125-U125</f>
        <v>0</v>
      </c>
    </row>
    <row r="126" spans="1:24" ht="18" customHeight="1">
      <c r="A126" s="16"/>
      <c r="B126" s="61" t="s">
        <v>106</v>
      </c>
      <c r="C126" s="30" t="s">
        <v>144</v>
      </c>
      <c r="D126" s="45">
        <v>7900</v>
      </c>
      <c r="E126" s="17"/>
      <c r="F126" s="17"/>
      <c r="G126" s="17"/>
      <c r="H126" s="38">
        <f>SUM(E126:G126)</f>
        <v>0</v>
      </c>
      <c r="I126" s="19"/>
      <c r="J126" s="19"/>
      <c r="K126" s="19">
        <v>7900</v>
      </c>
      <c r="L126" s="37">
        <f>SUM(I126:K126)</f>
        <v>7900</v>
      </c>
      <c r="M126" s="19"/>
      <c r="N126" s="19"/>
      <c r="O126" s="19"/>
      <c r="P126" s="37">
        <f>SUM(M126:O126)</f>
        <v>0</v>
      </c>
      <c r="Q126" s="19"/>
      <c r="R126" s="19"/>
      <c r="S126" s="19"/>
      <c r="T126" s="37">
        <f>SUM(Q126:S126)</f>
        <v>0</v>
      </c>
      <c r="U126" s="37">
        <f t="shared" si="44"/>
        <v>7900</v>
      </c>
      <c r="W126" s="15" t="s">
        <v>187</v>
      </c>
      <c r="X126" s="123">
        <f t="shared" si="47"/>
        <v>0</v>
      </c>
    </row>
    <row r="127" spans="1:24" ht="18" customHeight="1">
      <c r="A127" s="16"/>
      <c r="B127" s="61" t="s">
        <v>108</v>
      </c>
      <c r="C127" s="30" t="s">
        <v>144</v>
      </c>
      <c r="D127" s="45">
        <v>3200</v>
      </c>
      <c r="E127" s="17"/>
      <c r="F127" s="17"/>
      <c r="G127" s="17"/>
      <c r="H127" s="38">
        <f>SUM(E127:G127)</f>
        <v>0</v>
      </c>
      <c r="I127" s="19"/>
      <c r="J127" s="19"/>
      <c r="K127" s="19">
        <v>3200</v>
      </c>
      <c r="L127" s="37">
        <f>SUM(I127:K127)</f>
        <v>3200</v>
      </c>
      <c r="M127" s="19"/>
      <c r="N127" s="19"/>
      <c r="O127" s="19"/>
      <c r="P127" s="37">
        <f>SUM(M127:O127)</f>
        <v>0</v>
      </c>
      <c r="Q127" s="19"/>
      <c r="R127" s="19"/>
      <c r="S127" s="19"/>
      <c r="T127" s="37">
        <f>SUM(Q127:S127)</f>
        <v>0</v>
      </c>
      <c r="U127" s="37">
        <f t="shared" si="44"/>
        <v>3200</v>
      </c>
      <c r="W127" s="15" t="s">
        <v>187</v>
      </c>
      <c r="X127" s="123">
        <f t="shared" si="47"/>
        <v>0</v>
      </c>
    </row>
    <row r="128" spans="1:24" ht="18" customHeight="1">
      <c r="A128" s="16"/>
      <c r="B128" s="61" t="s">
        <v>121</v>
      </c>
      <c r="C128" s="30" t="s">
        <v>145</v>
      </c>
      <c r="D128" s="45">
        <v>2500000</v>
      </c>
      <c r="E128" s="17"/>
      <c r="F128" s="17"/>
      <c r="G128" s="17"/>
      <c r="H128" s="38">
        <f>SUM(E128:G128)</f>
        <v>0</v>
      </c>
      <c r="I128" s="19"/>
      <c r="J128" s="19"/>
      <c r="K128" s="19"/>
      <c r="L128" s="37">
        <f>SUM(I128:K128)</f>
        <v>0</v>
      </c>
      <c r="M128" s="19"/>
      <c r="N128" s="19"/>
      <c r="O128" s="19"/>
      <c r="P128" s="37">
        <f>SUM(M128:O128)</f>
        <v>0</v>
      </c>
      <c r="Q128" s="19"/>
      <c r="R128" s="19"/>
      <c r="S128" s="19">
        <v>2470000</v>
      </c>
      <c r="T128" s="37">
        <f>SUM(Q128:S128)</f>
        <v>2470000</v>
      </c>
      <c r="U128" s="37">
        <f t="shared" si="44"/>
        <v>2470000</v>
      </c>
      <c r="W128" s="15" t="s">
        <v>187</v>
      </c>
      <c r="X128" s="123">
        <f t="shared" si="47"/>
        <v>30000</v>
      </c>
    </row>
    <row r="129" spans="1:24" ht="18" customHeight="1">
      <c r="A129" s="16"/>
      <c r="B129" s="61" t="s">
        <v>119</v>
      </c>
      <c r="C129" s="30" t="s">
        <v>145</v>
      </c>
      <c r="D129" s="45">
        <v>33000</v>
      </c>
      <c r="E129" s="17"/>
      <c r="F129" s="17"/>
      <c r="G129" s="17"/>
      <c r="H129" s="38">
        <f>SUM(E129:G129)</f>
        <v>0</v>
      </c>
      <c r="I129" s="19"/>
      <c r="J129" s="19"/>
      <c r="K129" s="19"/>
      <c r="L129" s="37">
        <f>SUM(I129:K129)</f>
        <v>0</v>
      </c>
      <c r="M129" s="19">
        <v>33000</v>
      </c>
      <c r="N129" s="19"/>
      <c r="O129" s="19"/>
      <c r="P129" s="37">
        <f>SUM(M129:O129)</f>
        <v>33000</v>
      </c>
      <c r="Q129" s="19"/>
      <c r="R129" s="19"/>
      <c r="S129" s="19"/>
      <c r="T129" s="37">
        <f>SUM(Q129:S129)</f>
        <v>0</v>
      </c>
      <c r="U129" s="37">
        <f t="shared" si="44"/>
        <v>33000</v>
      </c>
      <c r="W129" s="15" t="s">
        <v>187</v>
      </c>
      <c r="X129" s="123">
        <f t="shared" si="47"/>
        <v>0</v>
      </c>
    </row>
    <row r="130" spans="1:24" ht="18" customHeight="1">
      <c r="A130" s="16"/>
      <c r="B130" s="61" t="s">
        <v>120</v>
      </c>
      <c r="C130" s="30" t="s">
        <v>145</v>
      </c>
      <c r="D130" s="45">
        <v>95000</v>
      </c>
      <c r="E130" s="17"/>
      <c r="F130" s="17"/>
      <c r="G130" s="17"/>
      <c r="H130" s="38">
        <f aca="true" t="shared" si="48" ref="H130:H143">SUM(E130:G130)</f>
        <v>0</v>
      </c>
      <c r="I130" s="19"/>
      <c r="J130" s="19"/>
      <c r="K130" s="19"/>
      <c r="L130" s="37">
        <f aca="true" t="shared" si="49" ref="L130:L144">SUM(I130:K130)</f>
        <v>0</v>
      </c>
      <c r="M130" s="19">
        <v>95000</v>
      </c>
      <c r="N130" s="19"/>
      <c r="O130" s="19"/>
      <c r="P130" s="37">
        <f aca="true" t="shared" si="50" ref="P130:P144">SUM(M130:O130)</f>
        <v>95000</v>
      </c>
      <c r="Q130" s="19"/>
      <c r="R130" s="19"/>
      <c r="S130" s="19"/>
      <c r="T130" s="37">
        <f aca="true" t="shared" si="51" ref="T130:T143">SUM(Q130:S130)</f>
        <v>0</v>
      </c>
      <c r="U130" s="37">
        <f t="shared" si="44"/>
        <v>95000</v>
      </c>
      <c r="W130" s="15" t="s">
        <v>187</v>
      </c>
      <c r="X130" s="123">
        <f t="shared" si="47"/>
        <v>0</v>
      </c>
    </row>
    <row r="131" spans="1:24" ht="18" customHeight="1">
      <c r="A131" s="16"/>
      <c r="B131" s="61" t="s">
        <v>123</v>
      </c>
      <c r="C131" s="30" t="s">
        <v>148</v>
      </c>
      <c r="D131" s="45">
        <v>3800</v>
      </c>
      <c r="E131" s="17"/>
      <c r="F131" s="17"/>
      <c r="G131" s="17"/>
      <c r="H131" s="38">
        <f t="shared" si="48"/>
        <v>0</v>
      </c>
      <c r="I131" s="19"/>
      <c r="J131" s="19"/>
      <c r="K131" s="19"/>
      <c r="L131" s="37">
        <f t="shared" si="49"/>
        <v>0</v>
      </c>
      <c r="M131" s="19"/>
      <c r="N131" s="19">
        <v>3800</v>
      </c>
      <c r="O131" s="19"/>
      <c r="P131" s="37">
        <f t="shared" si="50"/>
        <v>3800</v>
      </c>
      <c r="Q131" s="19"/>
      <c r="R131" s="19"/>
      <c r="S131" s="19"/>
      <c r="T131" s="37">
        <f t="shared" si="51"/>
        <v>0</v>
      </c>
      <c r="U131" s="37">
        <f t="shared" si="44"/>
        <v>3800</v>
      </c>
      <c r="X131" s="123">
        <f t="shared" si="47"/>
        <v>0</v>
      </c>
    </row>
    <row r="132" spans="1:24" ht="18" customHeight="1">
      <c r="A132" s="16"/>
      <c r="B132" s="61" t="s">
        <v>200</v>
      </c>
      <c r="C132" s="30" t="s">
        <v>148</v>
      </c>
      <c r="D132" s="45">
        <v>1500</v>
      </c>
      <c r="E132" s="17"/>
      <c r="F132" s="17"/>
      <c r="G132" s="17"/>
      <c r="H132" s="38">
        <f>SUM(E132:G132)</f>
        <v>0</v>
      </c>
      <c r="I132" s="19"/>
      <c r="J132" s="19"/>
      <c r="K132" s="19"/>
      <c r="L132" s="37">
        <f>SUM(I132:K132)</f>
        <v>0</v>
      </c>
      <c r="M132" s="19"/>
      <c r="N132" s="19">
        <v>1500</v>
      </c>
      <c r="O132" s="19"/>
      <c r="P132" s="37">
        <f>SUM(M132:O132)</f>
        <v>1500</v>
      </c>
      <c r="Q132" s="19"/>
      <c r="R132" s="19"/>
      <c r="S132" s="19"/>
      <c r="T132" s="37">
        <f>SUM(Q132:S132)</f>
        <v>0</v>
      </c>
      <c r="U132" s="37">
        <f t="shared" si="44"/>
        <v>1500</v>
      </c>
      <c r="X132" s="123">
        <f t="shared" si="47"/>
        <v>0</v>
      </c>
    </row>
    <row r="133" spans="1:24" ht="18" customHeight="1">
      <c r="A133" s="16"/>
      <c r="B133" s="61" t="s">
        <v>201</v>
      </c>
      <c r="C133" s="30" t="s">
        <v>148</v>
      </c>
      <c r="D133" s="45">
        <v>24000</v>
      </c>
      <c r="E133" s="17"/>
      <c r="F133" s="17"/>
      <c r="G133" s="17"/>
      <c r="H133" s="38">
        <f>SUM(E133:G133)</f>
        <v>0</v>
      </c>
      <c r="I133" s="19"/>
      <c r="J133" s="19"/>
      <c r="K133" s="19"/>
      <c r="L133" s="37">
        <f>SUM(I133:K133)</f>
        <v>0</v>
      </c>
      <c r="M133" s="19"/>
      <c r="N133" s="19">
        <v>2400</v>
      </c>
      <c r="O133" s="19"/>
      <c r="P133" s="37">
        <f>SUM(M133:O133)</f>
        <v>2400</v>
      </c>
      <c r="Q133" s="19"/>
      <c r="R133" s="19"/>
      <c r="S133" s="19"/>
      <c r="T133" s="37">
        <f>SUM(Q133:S133)</f>
        <v>0</v>
      </c>
      <c r="U133" s="37">
        <f t="shared" si="44"/>
        <v>2400</v>
      </c>
      <c r="X133" s="123">
        <f t="shared" si="47"/>
        <v>21600</v>
      </c>
    </row>
    <row r="134" spans="1:24" ht="18" customHeight="1">
      <c r="A134" s="16"/>
      <c r="B134" s="61" t="s">
        <v>204</v>
      </c>
      <c r="C134" s="30"/>
      <c r="D134" s="45">
        <v>3800</v>
      </c>
      <c r="E134" s="17"/>
      <c r="F134" s="17"/>
      <c r="G134" s="17"/>
      <c r="H134" s="38">
        <f>SUM(E134:G134)</f>
        <v>0</v>
      </c>
      <c r="I134" s="19"/>
      <c r="J134" s="19"/>
      <c r="K134" s="19"/>
      <c r="L134" s="37">
        <f>SUM(I134:K134)</f>
        <v>0</v>
      </c>
      <c r="M134" s="19"/>
      <c r="N134" s="19">
        <v>3800</v>
      </c>
      <c r="O134" s="19"/>
      <c r="P134" s="37">
        <f>SUM(M134:O134)</f>
        <v>3800</v>
      </c>
      <c r="Q134" s="19"/>
      <c r="R134" s="19"/>
      <c r="S134" s="19"/>
      <c r="T134" s="37">
        <f>SUM(Q134:S134)</f>
        <v>0</v>
      </c>
      <c r="U134" s="37">
        <f t="shared" si="44"/>
        <v>3800</v>
      </c>
      <c r="X134" s="123">
        <f t="shared" si="47"/>
        <v>0</v>
      </c>
    </row>
    <row r="135" spans="1:24" ht="18" customHeight="1">
      <c r="A135" s="16"/>
      <c r="B135" s="61" t="s">
        <v>202</v>
      </c>
      <c r="C135" s="30" t="s">
        <v>148</v>
      </c>
      <c r="D135" s="45">
        <v>6500</v>
      </c>
      <c r="E135" s="17"/>
      <c r="F135" s="17"/>
      <c r="G135" s="17"/>
      <c r="H135" s="38">
        <f>SUM(E135:G135)</f>
        <v>0</v>
      </c>
      <c r="I135" s="19"/>
      <c r="J135" s="19"/>
      <c r="K135" s="19"/>
      <c r="L135" s="37">
        <f>SUM(I135:K135)</f>
        <v>0</v>
      </c>
      <c r="M135" s="19"/>
      <c r="N135" s="19"/>
      <c r="O135" s="19"/>
      <c r="P135" s="37">
        <f>SUM(M135:O135)</f>
        <v>0</v>
      </c>
      <c r="Q135" s="19">
        <v>6500</v>
      </c>
      <c r="R135" s="19"/>
      <c r="S135" s="19"/>
      <c r="T135" s="37">
        <f>SUM(Q135:S135)</f>
        <v>6500</v>
      </c>
      <c r="U135" s="37">
        <f t="shared" si="44"/>
        <v>6500</v>
      </c>
      <c r="X135" s="123">
        <f t="shared" si="47"/>
        <v>0</v>
      </c>
    </row>
    <row r="136" spans="1:24" ht="18" customHeight="1">
      <c r="A136" s="16"/>
      <c r="B136" s="61" t="s">
        <v>203</v>
      </c>
      <c r="C136" s="30" t="s">
        <v>148</v>
      </c>
      <c r="D136" s="45">
        <v>9000</v>
      </c>
      <c r="E136" s="17"/>
      <c r="F136" s="17"/>
      <c r="G136" s="17"/>
      <c r="H136" s="38">
        <f t="shared" si="48"/>
        <v>0</v>
      </c>
      <c r="I136" s="19"/>
      <c r="J136" s="19"/>
      <c r="K136" s="19"/>
      <c r="L136" s="37">
        <f t="shared" si="49"/>
        <v>0</v>
      </c>
      <c r="M136" s="19"/>
      <c r="N136" s="19"/>
      <c r="O136" s="19"/>
      <c r="P136" s="37">
        <f t="shared" si="50"/>
        <v>0</v>
      </c>
      <c r="Q136" s="19">
        <v>9000</v>
      </c>
      <c r="R136" s="19"/>
      <c r="S136" s="19"/>
      <c r="T136" s="37">
        <f t="shared" si="51"/>
        <v>9000</v>
      </c>
      <c r="U136" s="37">
        <f t="shared" si="44"/>
        <v>9000</v>
      </c>
      <c r="X136" s="123">
        <f t="shared" si="47"/>
        <v>0</v>
      </c>
    </row>
    <row r="137" spans="1:24" ht="18" customHeight="1">
      <c r="A137" s="16"/>
      <c r="B137" s="61" t="s">
        <v>106</v>
      </c>
      <c r="C137" s="30"/>
      <c r="D137" s="45">
        <v>4300</v>
      </c>
      <c r="E137" s="17"/>
      <c r="F137" s="17"/>
      <c r="G137" s="17"/>
      <c r="H137" s="38">
        <f t="shared" si="48"/>
        <v>0</v>
      </c>
      <c r="I137" s="19"/>
      <c r="J137" s="19"/>
      <c r="K137" s="19">
        <v>4300</v>
      </c>
      <c r="L137" s="37">
        <f t="shared" si="49"/>
        <v>4300</v>
      </c>
      <c r="M137" s="19"/>
      <c r="N137" s="19"/>
      <c r="O137" s="19"/>
      <c r="P137" s="37">
        <f t="shared" si="50"/>
        <v>0</v>
      </c>
      <c r="Q137" s="19"/>
      <c r="R137" s="19"/>
      <c r="S137" s="19"/>
      <c r="T137" s="37">
        <f t="shared" si="51"/>
        <v>0</v>
      </c>
      <c r="U137" s="37">
        <f t="shared" si="44"/>
        <v>4300</v>
      </c>
      <c r="X137" s="123">
        <f t="shared" si="47"/>
        <v>0</v>
      </c>
    </row>
    <row r="138" spans="1:24" ht="18" customHeight="1">
      <c r="A138" s="16"/>
      <c r="B138" s="61" t="s">
        <v>188</v>
      </c>
      <c r="C138" s="30"/>
      <c r="D138" s="45">
        <v>7200</v>
      </c>
      <c r="E138" s="17"/>
      <c r="F138" s="17"/>
      <c r="G138" s="17"/>
      <c r="H138" s="38">
        <f t="shared" si="48"/>
        <v>0</v>
      </c>
      <c r="I138" s="19"/>
      <c r="J138" s="19"/>
      <c r="K138" s="19"/>
      <c r="L138" s="37">
        <f t="shared" si="49"/>
        <v>0</v>
      </c>
      <c r="M138" s="19"/>
      <c r="N138" s="19">
        <v>7200</v>
      </c>
      <c r="O138" s="19"/>
      <c r="P138" s="37">
        <f t="shared" si="50"/>
        <v>7200</v>
      </c>
      <c r="Q138" s="19"/>
      <c r="R138" s="19"/>
      <c r="S138" s="19"/>
      <c r="T138" s="37">
        <f t="shared" si="51"/>
        <v>0</v>
      </c>
      <c r="U138" s="37">
        <f t="shared" si="44"/>
        <v>7200</v>
      </c>
      <c r="X138" s="123">
        <f t="shared" si="47"/>
        <v>0</v>
      </c>
    </row>
    <row r="139" spans="1:24" ht="18" customHeight="1">
      <c r="A139" s="16"/>
      <c r="B139" s="61" t="s">
        <v>199</v>
      </c>
      <c r="C139" s="30"/>
      <c r="D139" s="45">
        <v>4500</v>
      </c>
      <c r="E139" s="17"/>
      <c r="F139" s="17"/>
      <c r="G139" s="17"/>
      <c r="H139" s="38">
        <f>SUM(E139:G139)</f>
        <v>0</v>
      </c>
      <c r="I139" s="19"/>
      <c r="J139" s="19"/>
      <c r="K139" s="19"/>
      <c r="L139" s="37">
        <f>SUM(I139:K139)</f>
        <v>0</v>
      </c>
      <c r="M139" s="19"/>
      <c r="N139" s="19">
        <v>4500</v>
      </c>
      <c r="O139" s="19"/>
      <c r="P139" s="37">
        <f>SUM(M139:O139)</f>
        <v>4500</v>
      </c>
      <c r="Q139" s="19"/>
      <c r="R139" s="19"/>
      <c r="S139" s="19"/>
      <c r="T139" s="37">
        <f>SUM(Q139:S139)</f>
        <v>0</v>
      </c>
      <c r="U139" s="37">
        <f t="shared" si="44"/>
        <v>4500</v>
      </c>
      <c r="X139" s="123">
        <f t="shared" si="47"/>
        <v>0</v>
      </c>
    </row>
    <row r="140" spans="1:24" ht="18" customHeight="1">
      <c r="A140" s="16"/>
      <c r="B140" s="61" t="s">
        <v>223</v>
      </c>
      <c r="C140" s="30"/>
      <c r="D140" s="45">
        <v>470000</v>
      </c>
      <c r="E140" s="17"/>
      <c r="F140" s="17"/>
      <c r="G140" s="17"/>
      <c r="H140" s="38">
        <f t="shared" si="48"/>
        <v>0</v>
      </c>
      <c r="I140" s="19"/>
      <c r="J140" s="19"/>
      <c r="K140" s="19"/>
      <c r="L140" s="37">
        <f t="shared" si="49"/>
        <v>0</v>
      </c>
      <c r="M140" s="19"/>
      <c r="N140" s="19"/>
      <c r="O140" s="19"/>
      <c r="P140" s="37">
        <f t="shared" si="50"/>
        <v>0</v>
      </c>
      <c r="Q140" s="19"/>
      <c r="R140" s="19"/>
      <c r="S140" s="19">
        <v>469000</v>
      </c>
      <c r="T140" s="37">
        <f t="shared" si="51"/>
        <v>469000</v>
      </c>
      <c r="U140" s="37">
        <f t="shared" si="44"/>
        <v>469000</v>
      </c>
      <c r="X140" s="123">
        <f t="shared" si="47"/>
        <v>1000</v>
      </c>
    </row>
    <row r="141" spans="1:24" ht="18" customHeight="1">
      <c r="A141" s="16"/>
      <c r="B141" s="61" t="s">
        <v>110</v>
      </c>
      <c r="C141" s="30"/>
      <c r="D141" s="45">
        <v>50000</v>
      </c>
      <c r="E141" s="17"/>
      <c r="F141" s="17"/>
      <c r="G141" s="17"/>
      <c r="H141" s="38">
        <f t="shared" si="48"/>
        <v>0</v>
      </c>
      <c r="I141" s="19"/>
      <c r="J141" s="19"/>
      <c r="K141" s="19"/>
      <c r="L141" s="37">
        <f t="shared" si="49"/>
        <v>0</v>
      </c>
      <c r="M141" s="19"/>
      <c r="N141" s="19"/>
      <c r="O141" s="19"/>
      <c r="P141" s="37">
        <f t="shared" si="50"/>
        <v>0</v>
      </c>
      <c r="Q141" s="19"/>
      <c r="R141" s="19"/>
      <c r="S141" s="19"/>
      <c r="T141" s="37">
        <f t="shared" si="51"/>
        <v>0</v>
      </c>
      <c r="U141" s="37">
        <f t="shared" si="44"/>
        <v>0</v>
      </c>
      <c r="X141" s="123">
        <f t="shared" si="47"/>
        <v>50000</v>
      </c>
    </row>
    <row r="142" spans="1:24" ht="18" customHeight="1">
      <c r="A142" s="16"/>
      <c r="B142" s="61" t="s">
        <v>111</v>
      </c>
      <c r="C142" s="30"/>
      <c r="D142" s="45">
        <v>50000</v>
      </c>
      <c r="E142" s="17"/>
      <c r="F142" s="17"/>
      <c r="G142" s="17"/>
      <c r="H142" s="38">
        <f t="shared" si="48"/>
        <v>0</v>
      </c>
      <c r="I142" s="19"/>
      <c r="J142" s="19"/>
      <c r="K142" s="19"/>
      <c r="L142" s="37">
        <f t="shared" si="49"/>
        <v>0</v>
      </c>
      <c r="M142" s="19"/>
      <c r="N142" s="19"/>
      <c r="O142" s="19"/>
      <c r="P142" s="37">
        <f t="shared" si="50"/>
        <v>0</v>
      </c>
      <c r="Q142" s="19"/>
      <c r="R142" s="19"/>
      <c r="S142" s="19"/>
      <c r="T142" s="37">
        <f t="shared" si="51"/>
        <v>0</v>
      </c>
      <c r="U142" s="37">
        <f t="shared" si="44"/>
        <v>0</v>
      </c>
      <c r="X142" s="123">
        <f t="shared" si="47"/>
        <v>50000</v>
      </c>
    </row>
    <row r="143" spans="1:24" ht="18" customHeight="1">
      <c r="A143" s="16"/>
      <c r="B143" s="61" t="s">
        <v>224</v>
      </c>
      <c r="C143" s="30"/>
      <c r="D143" s="45">
        <v>50000</v>
      </c>
      <c r="E143" s="17"/>
      <c r="F143" s="17"/>
      <c r="G143" s="17"/>
      <c r="H143" s="38">
        <f t="shared" si="48"/>
        <v>0</v>
      </c>
      <c r="I143" s="19"/>
      <c r="J143" s="19"/>
      <c r="K143" s="19"/>
      <c r="L143" s="37">
        <f t="shared" si="49"/>
        <v>0</v>
      </c>
      <c r="M143" s="19"/>
      <c r="N143" s="19"/>
      <c r="O143" s="19"/>
      <c r="P143" s="37">
        <f t="shared" si="50"/>
        <v>0</v>
      </c>
      <c r="Q143" s="19"/>
      <c r="R143" s="19"/>
      <c r="S143" s="19"/>
      <c r="T143" s="37">
        <f t="shared" si="51"/>
        <v>0</v>
      </c>
      <c r="U143" s="37">
        <f t="shared" si="44"/>
        <v>0</v>
      </c>
      <c r="X143" s="123"/>
    </row>
    <row r="144" spans="1:24" ht="18" customHeight="1">
      <c r="A144" s="16"/>
      <c r="B144" s="61" t="s">
        <v>122</v>
      </c>
      <c r="C144" s="30"/>
      <c r="D144" s="45">
        <v>10000</v>
      </c>
      <c r="E144" s="17"/>
      <c r="F144" s="17"/>
      <c r="G144" s="17"/>
      <c r="H144" s="38">
        <f>SUM(E144:G144)</f>
        <v>0</v>
      </c>
      <c r="I144" s="19"/>
      <c r="J144" s="19"/>
      <c r="K144" s="19"/>
      <c r="L144" s="37">
        <f t="shared" si="49"/>
        <v>0</v>
      </c>
      <c r="M144" s="19"/>
      <c r="N144" s="19"/>
      <c r="O144" s="19"/>
      <c r="P144" s="37">
        <f t="shared" si="50"/>
        <v>0</v>
      </c>
      <c r="Q144" s="19"/>
      <c r="R144" s="19"/>
      <c r="S144" s="19"/>
      <c r="T144" s="37">
        <f>SUM(Q144:S144)</f>
        <v>0</v>
      </c>
      <c r="U144" s="37">
        <f t="shared" si="44"/>
        <v>0</v>
      </c>
      <c r="X144" s="123">
        <f>+D144-U144</f>
        <v>10000</v>
      </c>
    </row>
    <row r="145" spans="1:24" ht="18" customHeight="1">
      <c r="A145" s="16"/>
      <c r="B145" s="61"/>
      <c r="C145" s="30"/>
      <c r="D145" s="45"/>
      <c r="E145" s="17"/>
      <c r="F145" s="17"/>
      <c r="G145" s="17"/>
      <c r="H145" s="38">
        <f>SUM(E145:G145)</f>
        <v>0</v>
      </c>
      <c r="I145" s="19"/>
      <c r="J145" s="19"/>
      <c r="K145" s="19"/>
      <c r="L145" s="37">
        <f>SUM(I145:K145)</f>
        <v>0</v>
      </c>
      <c r="M145" s="19"/>
      <c r="N145" s="19"/>
      <c r="O145" s="19"/>
      <c r="P145" s="37">
        <f>SUM(M145:O145)</f>
        <v>0</v>
      </c>
      <c r="Q145" s="19"/>
      <c r="R145" s="19"/>
      <c r="S145" s="19"/>
      <c r="T145" s="37">
        <f>SUM(Q145:S145)</f>
        <v>0</v>
      </c>
      <c r="U145" s="37">
        <f t="shared" si="44"/>
        <v>0</v>
      </c>
      <c r="X145" s="123">
        <f>+D145-U145</f>
        <v>0</v>
      </c>
    </row>
    <row r="146" spans="1:24" s="72" customFormat="1" ht="18" customHeight="1">
      <c r="A146" s="73" t="s">
        <v>73</v>
      </c>
      <c r="B146" s="74"/>
      <c r="C146" s="75"/>
      <c r="D146" s="77">
        <f aca="true" t="shared" si="52" ref="D146:T146">SUM(D147:D155)</f>
        <v>2976000</v>
      </c>
      <c r="E146" s="77">
        <f t="shared" si="52"/>
        <v>530000</v>
      </c>
      <c r="F146" s="77">
        <f t="shared" si="52"/>
        <v>0</v>
      </c>
      <c r="G146" s="77">
        <f t="shared" si="52"/>
        <v>0</v>
      </c>
      <c r="H146" s="77">
        <f t="shared" si="52"/>
        <v>530000</v>
      </c>
      <c r="I146" s="77">
        <f t="shared" si="52"/>
        <v>0</v>
      </c>
      <c r="J146" s="77">
        <f t="shared" si="52"/>
        <v>114000</v>
      </c>
      <c r="K146" s="77">
        <f t="shared" si="52"/>
        <v>0</v>
      </c>
      <c r="L146" s="77">
        <f t="shared" si="52"/>
        <v>114000</v>
      </c>
      <c r="M146" s="77">
        <f t="shared" si="52"/>
        <v>983000</v>
      </c>
      <c r="N146" s="77">
        <f t="shared" si="52"/>
        <v>0</v>
      </c>
      <c r="O146" s="77">
        <f t="shared" si="52"/>
        <v>479500</v>
      </c>
      <c r="P146" s="77">
        <f t="shared" si="52"/>
        <v>1462500</v>
      </c>
      <c r="Q146" s="77">
        <f t="shared" si="52"/>
        <v>568500</v>
      </c>
      <c r="R146" s="77">
        <f t="shared" si="52"/>
        <v>0</v>
      </c>
      <c r="S146" s="77">
        <f t="shared" si="52"/>
        <v>91000</v>
      </c>
      <c r="T146" s="77">
        <f t="shared" si="52"/>
        <v>659500</v>
      </c>
      <c r="U146" s="77">
        <f t="shared" si="44"/>
        <v>2766000</v>
      </c>
      <c r="V146" s="70">
        <f>SUM(U147:U155)</f>
        <v>2766000</v>
      </c>
      <c r="W146" s="71">
        <f>SUM(D147:D155)</f>
        <v>2976000</v>
      </c>
      <c r="X146" s="70">
        <f>+W146-V146</f>
        <v>210000</v>
      </c>
    </row>
    <row r="147" spans="1:24" s="112" customFormat="1" ht="18" customHeight="1">
      <c r="A147" s="104"/>
      <c r="B147" s="105" t="s">
        <v>186</v>
      </c>
      <c r="C147" s="106" t="s">
        <v>74</v>
      </c>
      <c r="D147" s="107">
        <v>540000</v>
      </c>
      <c r="E147" s="108">
        <v>530000</v>
      </c>
      <c r="F147" s="108"/>
      <c r="G147" s="108"/>
      <c r="H147" s="109">
        <f aca="true" t="shared" si="53" ref="H147:H155">SUM(E147:G147)</f>
        <v>530000</v>
      </c>
      <c r="I147" s="110"/>
      <c r="J147" s="110"/>
      <c r="K147" s="110"/>
      <c r="L147" s="111">
        <f aca="true" t="shared" si="54" ref="L147:L155">SUM(I147:K147)</f>
        <v>0</v>
      </c>
      <c r="M147" s="110"/>
      <c r="N147" s="110"/>
      <c r="O147" s="110"/>
      <c r="P147" s="111">
        <f aca="true" t="shared" si="55" ref="P147:P155">SUM(M147:O147)</f>
        <v>0</v>
      </c>
      <c r="Q147" s="110"/>
      <c r="R147" s="110"/>
      <c r="S147" s="110"/>
      <c r="T147" s="111">
        <f aca="true" t="shared" si="56" ref="T147:T155">SUM(Q147:S147)</f>
        <v>0</v>
      </c>
      <c r="U147" s="111">
        <f t="shared" si="44"/>
        <v>530000</v>
      </c>
      <c r="W147" s="113"/>
      <c r="X147" s="123">
        <f>+D147-U147</f>
        <v>10000</v>
      </c>
    </row>
    <row r="148" spans="1:24" ht="18" customHeight="1">
      <c r="A148" s="16"/>
      <c r="B148" s="61" t="s">
        <v>163</v>
      </c>
      <c r="C148" s="30" t="s">
        <v>147</v>
      </c>
      <c r="D148" s="45">
        <v>300000</v>
      </c>
      <c r="E148" s="17"/>
      <c r="F148" s="17"/>
      <c r="G148" s="17"/>
      <c r="H148" s="38">
        <f t="shared" si="53"/>
        <v>0</v>
      </c>
      <c r="I148" s="19"/>
      <c r="J148" s="19">
        <f>81000+33000</f>
        <v>114000</v>
      </c>
      <c r="K148" s="19"/>
      <c r="L148" s="37">
        <f t="shared" si="54"/>
        <v>114000</v>
      </c>
      <c r="M148" s="19">
        <v>33000</v>
      </c>
      <c r="N148" s="19"/>
      <c r="O148" s="19"/>
      <c r="P148" s="37">
        <f t="shared" si="55"/>
        <v>33000</v>
      </c>
      <c r="Q148" s="19"/>
      <c r="R148" s="19"/>
      <c r="S148" s="19">
        <f>45000+46000</f>
        <v>91000</v>
      </c>
      <c r="T148" s="37">
        <f t="shared" si="56"/>
        <v>91000</v>
      </c>
      <c r="U148" s="37">
        <f t="shared" si="44"/>
        <v>238000</v>
      </c>
      <c r="X148" s="123">
        <f>+D148-U148</f>
        <v>62000</v>
      </c>
    </row>
    <row r="149" spans="1:24" s="112" customFormat="1" ht="18" customHeight="1">
      <c r="A149" s="114"/>
      <c r="B149" s="115" t="s">
        <v>189</v>
      </c>
      <c r="C149" s="116"/>
      <c r="D149" s="111">
        <v>326000</v>
      </c>
      <c r="E149" s="110"/>
      <c r="F149" s="110"/>
      <c r="G149" s="110"/>
      <c r="H149" s="111">
        <f t="shared" si="53"/>
        <v>0</v>
      </c>
      <c r="I149" s="117"/>
      <c r="J149" s="117"/>
      <c r="K149" s="117"/>
      <c r="L149" s="118">
        <f t="shared" si="54"/>
        <v>0</v>
      </c>
      <c r="M149" s="117">
        <v>325000</v>
      </c>
      <c r="N149" s="117"/>
      <c r="O149" s="117"/>
      <c r="P149" s="118">
        <f t="shared" si="55"/>
        <v>325000</v>
      </c>
      <c r="Q149" s="117"/>
      <c r="R149" s="117"/>
      <c r="S149" s="117"/>
      <c r="T149" s="118">
        <f t="shared" si="56"/>
        <v>0</v>
      </c>
      <c r="U149" s="118">
        <f t="shared" si="44"/>
        <v>325000</v>
      </c>
      <c r="W149" s="113"/>
      <c r="X149" s="123">
        <f>+D149-U149</f>
        <v>1000</v>
      </c>
    </row>
    <row r="150" spans="1:24" s="112" customFormat="1" ht="18" customHeight="1">
      <c r="A150" s="114"/>
      <c r="B150" s="115" t="s">
        <v>190</v>
      </c>
      <c r="C150" s="116"/>
      <c r="D150" s="119">
        <v>190000</v>
      </c>
      <c r="E150" s="120"/>
      <c r="F150" s="120"/>
      <c r="G150" s="120"/>
      <c r="H150" s="119">
        <f t="shared" si="53"/>
        <v>0</v>
      </c>
      <c r="I150" s="121"/>
      <c r="J150" s="121"/>
      <c r="K150" s="121"/>
      <c r="L150" s="122">
        <f t="shared" si="54"/>
        <v>0</v>
      </c>
      <c r="M150" s="121">
        <v>189500</v>
      </c>
      <c r="N150" s="121"/>
      <c r="O150" s="121"/>
      <c r="P150" s="122">
        <f t="shared" si="55"/>
        <v>189500</v>
      </c>
      <c r="Q150" s="121"/>
      <c r="R150" s="121"/>
      <c r="S150" s="121"/>
      <c r="T150" s="122">
        <f t="shared" si="56"/>
        <v>0</v>
      </c>
      <c r="U150" s="122">
        <f t="shared" si="44"/>
        <v>189500</v>
      </c>
      <c r="W150" s="113"/>
      <c r="X150" s="123">
        <f>+D150-U150</f>
        <v>500</v>
      </c>
    </row>
    <row r="151" spans="1:24" s="112" customFormat="1" ht="18" customHeight="1">
      <c r="A151" s="114"/>
      <c r="B151" s="115" t="s">
        <v>234</v>
      </c>
      <c r="C151" s="116"/>
      <c r="D151" s="119">
        <v>85000</v>
      </c>
      <c r="E151" s="120"/>
      <c r="F151" s="120"/>
      <c r="G151" s="120"/>
      <c r="H151" s="119">
        <f t="shared" si="53"/>
        <v>0</v>
      </c>
      <c r="I151" s="121"/>
      <c r="J151" s="121"/>
      <c r="K151" s="121"/>
      <c r="L151" s="122">
        <f t="shared" si="54"/>
        <v>0</v>
      </c>
      <c r="M151" s="121">
        <v>79000</v>
      </c>
      <c r="N151" s="121"/>
      <c r="O151" s="121"/>
      <c r="P151" s="122">
        <f t="shared" si="55"/>
        <v>79000</v>
      </c>
      <c r="Q151" s="121"/>
      <c r="R151" s="121"/>
      <c r="S151" s="121"/>
      <c r="T151" s="122">
        <f t="shared" si="56"/>
        <v>0</v>
      </c>
      <c r="U151" s="122">
        <f t="shared" si="44"/>
        <v>79000</v>
      </c>
      <c r="W151" s="113"/>
      <c r="X151" s="123"/>
    </row>
    <row r="152" spans="1:24" s="112" customFormat="1" ht="18" customHeight="1">
      <c r="A152" s="114"/>
      <c r="B152" s="115" t="s">
        <v>189</v>
      </c>
      <c r="C152" s="116"/>
      <c r="D152" s="119">
        <v>357000</v>
      </c>
      <c r="E152" s="120"/>
      <c r="F152" s="120"/>
      <c r="G152" s="120"/>
      <c r="H152" s="119">
        <f t="shared" si="53"/>
        <v>0</v>
      </c>
      <c r="I152" s="121"/>
      <c r="J152" s="121"/>
      <c r="K152" s="121"/>
      <c r="L152" s="122">
        <f t="shared" si="54"/>
        <v>0</v>
      </c>
      <c r="M152" s="121">
        <v>356500</v>
      </c>
      <c r="N152" s="121"/>
      <c r="O152" s="121"/>
      <c r="P152" s="122">
        <f t="shared" si="55"/>
        <v>356500</v>
      </c>
      <c r="Q152" s="121"/>
      <c r="R152" s="121"/>
      <c r="S152" s="121"/>
      <c r="T152" s="122">
        <f t="shared" si="56"/>
        <v>0</v>
      </c>
      <c r="U152" s="122">
        <f t="shared" si="44"/>
        <v>356500</v>
      </c>
      <c r="W152" s="113"/>
      <c r="X152" s="123">
        <f>+D152-U152</f>
        <v>500</v>
      </c>
    </row>
    <row r="153" spans="1:24" s="112" customFormat="1" ht="18" customHeight="1">
      <c r="A153" s="114"/>
      <c r="B153" s="115" t="s">
        <v>205</v>
      </c>
      <c r="C153" s="116"/>
      <c r="D153" s="119">
        <v>480000</v>
      </c>
      <c r="E153" s="120"/>
      <c r="F153" s="120"/>
      <c r="G153" s="120"/>
      <c r="H153" s="119">
        <f>SUM(E153:G153)</f>
        <v>0</v>
      </c>
      <c r="I153" s="121"/>
      <c r="J153" s="121"/>
      <c r="K153" s="121"/>
      <c r="L153" s="122">
        <f>SUM(I153:K153)</f>
        <v>0</v>
      </c>
      <c r="M153" s="121"/>
      <c r="N153" s="121"/>
      <c r="O153" s="121">
        <v>479500</v>
      </c>
      <c r="P153" s="122">
        <f>SUM(M153:O153)</f>
        <v>479500</v>
      </c>
      <c r="Q153" s="121"/>
      <c r="R153" s="121"/>
      <c r="S153" s="121"/>
      <c r="T153" s="122">
        <f>SUM(Q153:S153)</f>
        <v>0</v>
      </c>
      <c r="U153" s="122">
        <f>+H153+L153+P153+T153</f>
        <v>479500</v>
      </c>
      <c r="W153" s="113"/>
      <c r="X153" s="123">
        <f>+D153-U153</f>
        <v>500</v>
      </c>
    </row>
    <row r="154" spans="1:24" s="112" customFormat="1" ht="18" customHeight="1">
      <c r="A154" s="114"/>
      <c r="B154" s="115" t="s">
        <v>206</v>
      </c>
      <c r="C154" s="116"/>
      <c r="D154" s="119">
        <v>628000</v>
      </c>
      <c r="E154" s="120"/>
      <c r="F154" s="120"/>
      <c r="G154" s="120"/>
      <c r="H154" s="119">
        <f>SUM(E154:G154)</f>
        <v>0</v>
      </c>
      <c r="I154" s="121"/>
      <c r="J154" s="121"/>
      <c r="K154" s="121"/>
      <c r="L154" s="122">
        <f>SUM(I154:K154)</f>
        <v>0</v>
      </c>
      <c r="M154" s="121"/>
      <c r="N154" s="121"/>
      <c r="O154" s="121"/>
      <c r="P154" s="122">
        <f>SUM(M154:O154)</f>
        <v>0</v>
      </c>
      <c r="Q154" s="121">
        <v>499000</v>
      </c>
      <c r="R154" s="121"/>
      <c r="S154" s="121"/>
      <c r="T154" s="122">
        <f>SUM(Q154:S154)</f>
        <v>499000</v>
      </c>
      <c r="U154" s="122">
        <f>+H154+L154+P154+T154</f>
        <v>499000</v>
      </c>
      <c r="W154" s="113"/>
      <c r="X154" s="123">
        <f>+D154-U154</f>
        <v>129000</v>
      </c>
    </row>
    <row r="155" spans="1:24" s="112" customFormat="1" ht="18" customHeight="1">
      <c r="A155" s="114"/>
      <c r="B155" s="115" t="s">
        <v>235</v>
      </c>
      <c r="C155" s="116"/>
      <c r="D155" s="119">
        <v>70000</v>
      </c>
      <c r="E155" s="120"/>
      <c r="F155" s="120"/>
      <c r="G155" s="120"/>
      <c r="H155" s="119">
        <f t="shared" si="53"/>
        <v>0</v>
      </c>
      <c r="I155" s="121"/>
      <c r="J155" s="121"/>
      <c r="K155" s="121"/>
      <c r="L155" s="122">
        <f t="shared" si="54"/>
        <v>0</v>
      </c>
      <c r="M155" s="121"/>
      <c r="N155" s="121"/>
      <c r="O155" s="121"/>
      <c r="P155" s="122">
        <f t="shared" si="55"/>
        <v>0</v>
      </c>
      <c r="Q155" s="121">
        <v>69500</v>
      </c>
      <c r="R155" s="121"/>
      <c r="S155" s="121"/>
      <c r="T155" s="122">
        <f t="shared" si="56"/>
        <v>69500</v>
      </c>
      <c r="U155" s="122">
        <f>+H155+L155+P155+T155</f>
        <v>69500</v>
      </c>
      <c r="W155" s="113"/>
      <c r="X155" s="123">
        <f>+D155-U155</f>
        <v>500</v>
      </c>
    </row>
    <row r="156" spans="1:24" s="72" customFormat="1" ht="18" customHeight="1" thickBot="1">
      <c r="A156" s="136" t="s">
        <v>175</v>
      </c>
      <c r="B156" s="136"/>
      <c r="C156" s="137"/>
      <c r="D156" s="78">
        <f aca="true" t="shared" si="57" ref="D156:U156">+D5+D13+D19+D25+D49+D118+D124+D146</f>
        <v>18834680</v>
      </c>
      <c r="E156" s="78">
        <f t="shared" si="57"/>
        <v>1333085.69</v>
      </c>
      <c r="F156" s="78">
        <f t="shared" si="57"/>
        <v>701071.03</v>
      </c>
      <c r="G156" s="78">
        <f t="shared" si="57"/>
        <v>794955.55</v>
      </c>
      <c r="H156" s="78">
        <f t="shared" si="57"/>
        <v>2829112.27</v>
      </c>
      <c r="I156" s="78">
        <f t="shared" si="57"/>
        <v>628750.76</v>
      </c>
      <c r="J156" s="78">
        <f t="shared" si="57"/>
        <v>1099045.63</v>
      </c>
      <c r="K156" s="78">
        <f t="shared" si="57"/>
        <v>784265.2000000001</v>
      </c>
      <c r="L156" s="78">
        <f t="shared" si="57"/>
        <v>2512061.59</v>
      </c>
      <c r="M156" s="78">
        <f t="shared" si="57"/>
        <v>1749767.08</v>
      </c>
      <c r="N156" s="78">
        <f t="shared" si="57"/>
        <v>867812.28</v>
      </c>
      <c r="O156" s="78">
        <f t="shared" si="57"/>
        <v>1262582.1</v>
      </c>
      <c r="P156" s="78">
        <f t="shared" si="57"/>
        <v>3880161.46</v>
      </c>
      <c r="Q156" s="78">
        <f t="shared" si="57"/>
        <v>1281649.65</v>
      </c>
      <c r="R156" s="78">
        <f t="shared" si="57"/>
        <v>1131231.02</v>
      </c>
      <c r="S156" s="78">
        <f t="shared" si="57"/>
        <v>4308071.16</v>
      </c>
      <c r="T156" s="78">
        <f t="shared" si="57"/>
        <v>6720951.83</v>
      </c>
      <c r="U156" s="78">
        <f t="shared" si="57"/>
        <v>15942287.149999999</v>
      </c>
      <c r="V156" s="70">
        <f>SUM(V5:V155)</f>
        <v>16030181.649999999</v>
      </c>
      <c r="W156" s="71">
        <f>SUM(W5:W155)</f>
        <v>18834680</v>
      </c>
      <c r="X156" s="71"/>
    </row>
    <row r="157" spans="4:22" ht="21.75" thickTop="1">
      <c r="D157" s="47"/>
      <c r="E157" s="26"/>
      <c r="F157" s="26"/>
      <c r="G157" s="26"/>
      <c r="H157" s="40"/>
      <c r="I157" s="26"/>
      <c r="J157" s="26"/>
      <c r="K157" s="26"/>
      <c r="L157" s="40"/>
      <c r="M157" s="26"/>
      <c r="N157" s="26"/>
      <c r="O157" s="26"/>
      <c r="P157" s="40"/>
      <c r="Q157" s="26"/>
      <c r="R157" s="26"/>
      <c r="S157" s="26"/>
      <c r="T157" s="40"/>
      <c r="U157" s="40"/>
      <c r="V157" s="58">
        <f>+U5+U13+U19+U25+U49+U118+U124+U146</f>
        <v>15942287.149999999</v>
      </c>
    </row>
    <row r="158" spans="4:22" ht="21">
      <c r="D158" s="47"/>
      <c r="E158" s="26"/>
      <c r="F158" s="26"/>
      <c r="G158" s="26"/>
      <c r="H158" s="40"/>
      <c r="I158" s="26"/>
      <c r="J158" s="26"/>
      <c r="K158" s="26"/>
      <c r="L158" s="40"/>
      <c r="M158" s="26"/>
      <c r="N158" s="26"/>
      <c r="O158" s="26"/>
      <c r="P158" s="40"/>
      <c r="Q158" s="26"/>
      <c r="R158" s="26"/>
      <c r="S158" s="26"/>
      <c r="T158" s="40"/>
      <c r="U158" s="40"/>
      <c r="V158" s="58">
        <f>+V156-V157</f>
        <v>87894.5</v>
      </c>
    </row>
    <row r="159" spans="4:21" ht="21">
      <c r="D159" s="47"/>
      <c r="E159" s="26"/>
      <c r="F159" s="26"/>
      <c r="G159" s="26"/>
      <c r="H159" s="40"/>
      <c r="I159" s="26"/>
      <c r="J159" s="26"/>
      <c r="K159" s="26"/>
      <c r="L159" s="40"/>
      <c r="M159" s="26"/>
      <c r="N159" s="26"/>
      <c r="O159" s="26"/>
      <c r="P159" s="40"/>
      <c r="Q159" s="26"/>
      <c r="R159" s="26"/>
      <c r="S159" s="26"/>
      <c r="T159" s="40"/>
      <c r="U159" s="40"/>
    </row>
    <row r="160" spans="4:21" ht="21">
      <c r="D160" s="47"/>
      <c r="E160" s="26"/>
      <c r="F160" s="26"/>
      <c r="G160" s="26"/>
      <c r="H160" s="40"/>
      <c r="I160" s="26"/>
      <c r="J160" s="26"/>
      <c r="K160" s="26"/>
      <c r="L160" s="40"/>
      <c r="M160" s="26"/>
      <c r="N160" s="26"/>
      <c r="O160" s="26"/>
      <c r="P160" s="40"/>
      <c r="Q160" s="26"/>
      <c r="R160" s="26"/>
      <c r="S160" s="26"/>
      <c r="T160" s="40"/>
      <c r="U160" s="40"/>
    </row>
    <row r="161" spans="4:21" ht="21">
      <c r="D161" s="47"/>
      <c r="E161" s="26"/>
      <c r="F161" s="26"/>
      <c r="G161" s="26"/>
      <c r="H161" s="40"/>
      <c r="I161" s="26"/>
      <c r="J161" s="26"/>
      <c r="K161" s="26"/>
      <c r="L161" s="40"/>
      <c r="M161" s="26"/>
      <c r="N161" s="26"/>
      <c r="O161" s="26"/>
      <c r="P161" s="40"/>
      <c r="Q161" s="26"/>
      <c r="R161" s="26"/>
      <c r="S161" s="26"/>
      <c r="T161" s="40"/>
      <c r="U161" s="40"/>
    </row>
    <row r="162" spans="4:21" ht="21">
      <c r="D162" s="47"/>
      <c r="E162" s="26"/>
      <c r="F162" s="26"/>
      <c r="G162" s="26"/>
      <c r="H162" s="40"/>
      <c r="I162" s="26"/>
      <c r="J162" s="26"/>
      <c r="K162" s="26"/>
      <c r="L162" s="40"/>
      <c r="M162" s="26"/>
      <c r="N162" s="26"/>
      <c r="O162" s="26"/>
      <c r="P162" s="40"/>
      <c r="Q162" s="26"/>
      <c r="R162" s="26"/>
      <c r="S162" s="26"/>
      <c r="T162" s="40"/>
      <c r="U162" s="40"/>
    </row>
    <row r="163" spans="4:21" ht="21">
      <c r="D163" s="47"/>
      <c r="E163" s="26"/>
      <c r="F163" s="26"/>
      <c r="G163" s="26"/>
      <c r="H163" s="40"/>
      <c r="I163" s="26"/>
      <c r="J163" s="26"/>
      <c r="K163" s="26"/>
      <c r="L163" s="40"/>
      <c r="M163" s="26"/>
      <c r="N163" s="26"/>
      <c r="O163" s="26"/>
      <c r="P163" s="40"/>
      <c r="Q163" s="26"/>
      <c r="R163" s="26"/>
      <c r="S163" s="26"/>
      <c r="T163" s="40"/>
      <c r="U163" s="40"/>
    </row>
    <row r="164" spans="4:21" ht="21">
      <c r="D164" s="47"/>
      <c r="E164" s="26"/>
      <c r="F164" s="26"/>
      <c r="G164" s="26"/>
      <c r="H164" s="40"/>
      <c r="I164" s="26"/>
      <c r="J164" s="26"/>
      <c r="K164" s="26"/>
      <c r="L164" s="40"/>
      <c r="M164" s="26"/>
      <c r="N164" s="26"/>
      <c r="O164" s="26"/>
      <c r="P164" s="40"/>
      <c r="Q164" s="26"/>
      <c r="R164" s="26"/>
      <c r="S164" s="26"/>
      <c r="T164" s="40"/>
      <c r="U164" s="40"/>
    </row>
  </sheetData>
  <sheetProtection/>
  <mergeCells count="5">
    <mergeCell ref="A4:B4"/>
    <mergeCell ref="A1:U1"/>
    <mergeCell ref="A2:U2"/>
    <mergeCell ref="A3:U3"/>
    <mergeCell ref="A156:C156"/>
  </mergeCells>
  <printOptions/>
  <pageMargins left="0.9055118110236221" right="0.11811023622047245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2018-11-15T01:59:40Z</cp:lastPrinted>
  <dcterms:created xsi:type="dcterms:W3CDTF">2017-11-02T06:42:53Z</dcterms:created>
  <dcterms:modified xsi:type="dcterms:W3CDTF">2019-10-31T06:30:05Z</dcterms:modified>
  <cp:category/>
  <cp:version/>
  <cp:contentType/>
  <cp:contentStatus/>
</cp:coreProperties>
</file>